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/>
  <mc:AlternateContent xmlns:mc="http://schemas.openxmlformats.org/markup-compatibility/2006">
    <mc:Choice Requires="x15">
      <x15ac:absPath xmlns:x15ac="http://schemas.microsoft.com/office/spreadsheetml/2010/11/ac" url="/Users/lauraalonso/Dropbox/Publications/2026 Grp78 ko/2025 JCI resubmission/Uploaded/"/>
    </mc:Choice>
  </mc:AlternateContent>
  <xr:revisionPtr revIDLastSave="0" documentId="8_{C363C384-084D-C140-9DD4-A60523E8CE16}" xr6:coauthVersionLast="47" xr6:coauthVersionMax="47" xr10:uidLastSave="{00000000-0000-0000-0000-000000000000}"/>
  <bookViews>
    <workbookView xWindow="120" yWindow="4160" windowWidth="48020" windowHeight="15560" activeTab="41" xr2:uid="{B8CE7813-ED38-DE45-844A-875CCCFFB18D}"/>
  </bookViews>
  <sheets>
    <sheet name="1D (Ins1 Cre Grp78 BG)" sheetId="1" r:id="rId1"/>
    <sheet name="1F (Ins1 Cre Grp78 Insulin)" sheetId="2" r:id="rId2"/>
    <sheet name="1H (Ins1 Cre Grp78 Bwt)" sheetId="3" r:id="rId3"/>
    <sheet name="2B-D (beta cell mass)" sheetId="4" r:id="rId4"/>
    <sheet name="2F-H (%beta cells islet)" sheetId="5" r:id="rId5"/>
    <sheet name="3B-D (Ins1 Cre Grp78 BrdU)" sheetId="6" r:id="rId6"/>
    <sheet name="3F-G ((Ins1 Cre Grp78 TUNEL)" sheetId="7" r:id="rId7"/>
    <sheet name="4B (Grp78 KD-WB quants)" sheetId="12" r:id="rId8"/>
    <sheet name="4D (Annexin V flow)" sheetId="13" r:id="rId9"/>
    <sheet name="4F (Grp78 KD-TUNEL)" sheetId="14" r:id="rId10"/>
    <sheet name="4G-H (Grp78 KD-Real time)" sheetId="15" r:id="rId11"/>
    <sheet name="5B (KD+pathway Inh TUNEL)" sheetId="10" r:id="rId12"/>
    <sheet name="5D (Wb quants pJNK)" sheetId="16" r:id="rId13"/>
    <sheet name="5F-G (Real time-Chop ShRNA)" sheetId="17" r:id="rId14"/>
    <sheet name="5I (TUNEL-Chop ShRNA)" sheetId="18" r:id="rId15"/>
    <sheet name="5K (Wb Quants-JNK inh)" sheetId="19" r:id="rId16"/>
    <sheet name="5M (TUNEL-JNK inh)" sheetId="20" r:id="rId17"/>
    <sheet name="6F (p-p53 JNK Inh)" sheetId="21" r:id="rId18"/>
    <sheet name="6G-H (p53 targets-JNK Inh)" sheetId="22" r:id="rId19"/>
    <sheet name="6J (TUNEL-p53 Inh)" sheetId="23" r:id="rId20"/>
    <sheet name="6LM (p53 kd qPCR)" sheetId="43" r:id="rId21"/>
    <sheet name="6O (TUNEL)" sheetId="44" r:id="rId22"/>
    <sheet name="7B (pJNK Intensity-2w)k" sheetId="24" r:id="rId23"/>
    <sheet name="7D (Ins1 Cre-pJNK with JNK Inh)" sheetId="25" r:id="rId24"/>
    <sheet name="7E (pJNK intensity quartiles)" sheetId="26" r:id="rId25"/>
    <sheet name="7F-G (ins1 cre-JNK inh bg)" sheetId="27" r:id="rId26"/>
    <sheet name="7I (ins1 cre-JNK inh-TUNEL)" sheetId="29" r:id="rId27"/>
    <sheet name="7J(ins1 cre-JNK inh BCM)" sheetId="30" r:id="rId28"/>
    <sheet name="8B (Akita-JNK inh pJNK)" sheetId="31" r:id="rId29"/>
    <sheet name="8C (Ak JNK inh Bg)" sheetId="33" r:id="rId30"/>
    <sheet name="8E (Ak Jnk Inh-TUNEL)" sheetId="34" r:id="rId31"/>
    <sheet name="8F Ak JNK inh-BCM)" sheetId="35" r:id="rId32"/>
    <sheet name="8G (Ak JNK inh-Insulin)" sheetId="36" r:id="rId33"/>
    <sheet name="8I (28d JNKi BG)" sheetId="45" r:id="rId34"/>
    <sheet name="8J (28d insulin)" sheetId="46" r:id="rId35"/>
    <sheet name="8L (28d TUNEL)" sheetId="47" r:id="rId36"/>
    <sheet name="8M (28d BCM)" sheetId="48" r:id="rId37"/>
    <sheet name="9B-C (pJNK control vs t2d)" sheetId="37" r:id="rId38"/>
    <sheet name="9 E-F (GRP78 control vs t2d)" sheetId="38" r:id="rId39"/>
    <sheet name="9G (HI Grp78 KD-real time)" sheetId="39" r:id="rId40"/>
    <sheet name="9I (HI Grp78 KD-TUNEL)" sheetId="40" r:id="rId41"/>
    <sheet name="9J (HI Grp78 KD-JNK targets)" sheetId="42" r:id="rId42"/>
    <sheet name="9L-M (TUNEL-p53 and JNK Inh)" sheetId="41" r:id="rId43"/>
    <sheet name="SFig2 Grp78ko m vs f" sheetId="54" r:id="rId44"/>
    <sheet name="SFig3 (8wk deletion)" sheetId="55" r:id="rId45"/>
    <sheet name="SFig4 (alpha cells)" sheetId="11" r:id="rId46"/>
    <sheet name="SFig5 (SST counts)" sheetId="56" r:id="rId47"/>
    <sheet name="SFig6 (Grp78kd UPR)" sheetId="57" r:id="rId48"/>
    <sheet name="SFig7 GRP78 kd prolif" sheetId="58" r:id="rId49"/>
    <sheet name="SFig8 UPR inhib" sheetId="59" r:id="rId50"/>
    <sheet name="SFig10 (Ak-JNK targets liver)" sheetId="32" r:id="rId51"/>
    <sheet name="SFig11 human" sheetId="60" r:id="rId5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3" i="59" l="1"/>
  <c r="D13" i="59"/>
  <c r="E13" i="59"/>
  <c r="F13" i="59"/>
  <c r="G13" i="59"/>
  <c r="H13" i="59"/>
  <c r="I13" i="59"/>
  <c r="C14" i="59"/>
  <c r="D14" i="59"/>
  <c r="E14" i="59"/>
  <c r="F14" i="59"/>
  <c r="G14" i="59"/>
  <c r="H14" i="59"/>
  <c r="I14" i="59"/>
  <c r="B14" i="59"/>
  <c r="B13" i="59"/>
  <c r="C11" i="60"/>
  <c r="F11" i="60"/>
  <c r="G11" i="60"/>
  <c r="H11" i="60"/>
  <c r="I11" i="60"/>
  <c r="D11" i="60"/>
  <c r="E11" i="60"/>
  <c r="C12" i="60"/>
  <c r="F12" i="60"/>
  <c r="G12" i="60"/>
  <c r="H12" i="60"/>
  <c r="I12" i="60"/>
  <c r="D12" i="60"/>
  <c r="E12" i="60"/>
  <c r="B12" i="60"/>
  <c r="B11" i="60"/>
  <c r="C23" i="48"/>
  <c r="D23" i="48"/>
  <c r="E23" i="48"/>
  <c r="F23" i="48"/>
  <c r="G23" i="48"/>
  <c r="C24" i="48"/>
  <c r="D24" i="48"/>
  <c r="E24" i="48"/>
  <c r="F24" i="48"/>
  <c r="G24" i="48"/>
  <c r="B24" i="48"/>
  <c r="B23" i="48"/>
  <c r="G21" i="47"/>
  <c r="F21" i="47"/>
  <c r="E21" i="47"/>
  <c r="D21" i="47"/>
  <c r="C21" i="47"/>
  <c r="B21" i="47"/>
  <c r="G20" i="47"/>
  <c r="F20" i="47"/>
  <c r="E20" i="47"/>
  <c r="D20" i="47"/>
  <c r="C20" i="47"/>
  <c r="B20" i="47"/>
  <c r="C20" i="46"/>
  <c r="D20" i="46"/>
  <c r="E20" i="46"/>
  <c r="F20" i="46"/>
  <c r="G20" i="46"/>
  <c r="C21" i="46"/>
  <c r="D21" i="46"/>
  <c r="E21" i="46"/>
  <c r="F21" i="46"/>
  <c r="G21" i="46"/>
  <c r="B21" i="46"/>
  <c r="B20" i="46"/>
  <c r="I19" i="58"/>
  <c r="H19" i="58"/>
  <c r="I18" i="58"/>
  <c r="H18" i="58"/>
  <c r="F19" i="58"/>
  <c r="E19" i="58"/>
  <c r="C19" i="58"/>
  <c r="B19" i="58"/>
  <c r="F18" i="58"/>
  <c r="E18" i="58"/>
  <c r="C18" i="58"/>
  <c r="B18" i="58"/>
  <c r="AV18" i="57"/>
  <c r="AU18" i="57"/>
  <c r="AV17" i="57"/>
  <c r="AU17" i="57"/>
  <c r="AS18" i="57"/>
  <c r="AR18" i="57"/>
  <c r="AS17" i="57"/>
  <c r="AR17" i="57"/>
  <c r="AP18" i="57"/>
  <c r="AO18" i="57"/>
  <c r="AP17" i="57"/>
  <c r="AO17" i="57"/>
  <c r="AM18" i="57"/>
  <c r="AL18" i="57"/>
  <c r="AM17" i="57"/>
  <c r="AL17" i="57"/>
  <c r="AJ18" i="57"/>
  <c r="AI18" i="57"/>
  <c r="AJ17" i="57"/>
  <c r="AI17" i="57"/>
  <c r="AG18" i="57"/>
  <c r="AF18" i="57"/>
  <c r="AG17" i="57"/>
  <c r="AF17" i="57"/>
  <c r="AD18" i="57"/>
  <c r="AC18" i="57"/>
  <c r="AD17" i="57"/>
  <c r="AC17" i="57"/>
  <c r="AA18" i="57"/>
  <c r="Z18" i="57"/>
  <c r="AA17" i="57"/>
  <c r="Z17" i="57"/>
  <c r="X18" i="57"/>
  <c r="W18" i="57"/>
  <c r="X17" i="57"/>
  <c r="W17" i="57"/>
  <c r="U18" i="57"/>
  <c r="T18" i="57"/>
  <c r="U17" i="57"/>
  <c r="T17" i="57"/>
  <c r="R18" i="57"/>
  <c r="Q18" i="57"/>
  <c r="R17" i="57"/>
  <c r="Q17" i="57"/>
  <c r="O18" i="57"/>
  <c r="N18" i="57"/>
  <c r="O17" i="57"/>
  <c r="N17" i="57"/>
  <c r="L18" i="57"/>
  <c r="K18" i="57"/>
  <c r="L17" i="57"/>
  <c r="K17" i="57"/>
  <c r="I18" i="57"/>
  <c r="H18" i="57"/>
  <c r="I17" i="57"/>
  <c r="H17" i="57"/>
  <c r="F18" i="57"/>
  <c r="E18" i="57"/>
  <c r="F17" i="57"/>
  <c r="E17" i="57"/>
  <c r="C17" i="57"/>
  <c r="C18" i="57"/>
  <c r="B18" i="57"/>
  <c r="B17" i="57"/>
  <c r="F18" i="56"/>
  <c r="E18" i="56"/>
  <c r="F17" i="56"/>
  <c r="E17" i="56"/>
  <c r="C18" i="56"/>
  <c r="B18" i="56"/>
  <c r="C17" i="56"/>
  <c r="B17" i="56"/>
  <c r="Y16" i="11"/>
  <c r="Z16" i="11"/>
  <c r="AA16" i="11"/>
  <c r="AB16" i="11"/>
  <c r="Y17" i="11"/>
  <c r="Z17" i="11"/>
  <c r="AA17" i="11"/>
  <c r="AB17" i="11"/>
  <c r="X17" i="11"/>
  <c r="X16" i="11"/>
  <c r="V17" i="11"/>
  <c r="U17" i="11"/>
  <c r="V16" i="11"/>
  <c r="U16" i="11"/>
  <c r="S17" i="11"/>
  <c r="S16" i="11"/>
  <c r="R17" i="11"/>
  <c r="Q17" i="11"/>
  <c r="P17" i="11"/>
  <c r="R16" i="11"/>
  <c r="Q16" i="11"/>
  <c r="P16" i="11"/>
  <c r="AI18" i="54"/>
  <c r="AH18" i="54"/>
  <c r="AG18" i="54"/>
  <c r="AF18" i="54"/>
  <c r="AE18" i="54"/>
  <c r="AC18" i="54"/>
  <c r="AB18" i="54"/>
  <c r="AA18" i="54"/>
  <c r="Z18" i="54"/>
  <c r="Y18" i="54"/>
  <c r="AI17" i="54"/>
  <c r="AH17" i="54"/>
  <c r="AG17" i="54"/>
  <c r="AF17" i="54"/>
  <c r="AE17" i="54"/>
  <c r="AC17" i="54"/>
  <c r="AB17" i="54"/>
  <c r="AA17" i="54"/>
  <c r="Z17" i="54"/>
  <c r="Y17" i="54"/>
  <c r="W18" i="54"/>
  <c r="V18" i="54"/>
  <c r="U18" i="54"/>
  <c r="T18" i="54"/>
  <c r="S18" i="54"/>
  <c r="Q18" i="54"/>
  <c r="P18" i="54"/>
  <c r="O18" i="54"/>
  <c r="N18" i="54"/>
  <c r="M18" i="54"/>
  <c r="W17" i="54"/>
  <c r="V17" i="54"/>
  <c r="U17" i="54"/>
  <c r="T17" i="54"/>
  <c r="S17" i="54"/>
  <c r="Q17" i="54"/>
  <c r="P17" i="54"/>
  <c r="O17" i="54"/>
  <c r="N17" i="54"/>
  <c r="M17" i="54"/>
  <c r="K17" i="54"/>
  <c r="K18" i="54"/>
  <c r="B17" i="54"/>
  <c r="C17" i="54"/>
  <c r="D17" i="54"/>
  <c r="E17" i="54"/>
  <c r="G17" i="54"/>
  <c r="H17" i="54"/>
  <c r="I17" i="54"/>
  <c r="J17" i="54"/>
  <c r="B18" i="54"/>
  <c r="C18" i="54"/>
  <c r="D18" i="54"/>
  <c r="E18" i="54"/>
  <c r="G18" i="54"/>
  <c r="H18" i="54"/>
  <c r="I18" i="54"/>
  <c r="J18" i="54"/>
  <c r="A18" i="54"/>
  <c r="A17" i="54"/>
  <c r="L17" i="11" l="1"/>
  <c r="L16" i="11"/>
  <c r="G16" i="11"/>
  <c r="AE4" i="45" l="1"/>
  <c r="AF4" i="45"/>
  <c r="AE5" i="45"/>
  <c r="AF5" i="45"/>
  <c r="AE6" i="45"/>
  <c r="AF6" i="45"/>
  <c r="AE7" i="45"/>
  <c r="AF7" i="45"/>
  <c r="AF3" i="45"/>
  <c r="AE3" i="45"/>
  <c r="O4" i="45"/>
  <c r="P4" i="45"/>
  <c r="O5" i="45"/>
  <c r="P5" i="45"/>
  <c r="O6" i="45"/>
  <c r="P6" i="45"/>
  <c r="O7" i="45"/>
  <c r="P7" i="45"/>
  <c r="P3" i="45"/>
  <c r="O3" i="45"/>
  <c r="D12" i="44"/>
  <c r="E12" i="44"/>
  <c r="D13" i="44"/>
  <c r="E13" i="44"/>
  <c r="C13" i="44"/>
  <c r="B13" i="44"/>
  <c r="C12" i="44"/>
  <c r="B12" i="44"/>
  <c r="H12" i="43"/>
  <c r="G12" i="43"/>
  <c r="F12" i="43"/>
  <c r="H11" i="43"/>
  <c r="G11" i="43"/>
  <c r="F11" i="43"/>
  <c r="AF12" i="43"/>
  <c r="AE12" i="43"/>
  <c r="AD12" i="43"/>
  <c r="AB12" i="43"/>
  <c r="AA12" i="43"/>
  <c r="Z12" i="43"/>
  <c r="X12" i="43"/>
  <c r="W12" i="43"/>
  <c r="V12" i="43"/>
  <c r="T12" i="43"/>
  <c r="S12" i="43"/>
  <c r="R12" i="43"/>
  <c r="P12" i="43"/>
  <c r="O12" i="43"/>
  <c r="N12" i="43"/>
  <c r="L12" i="43"/>
  <c r="K12" i="43"/>
  <c r="J12" i="43"/>
  <c r="D12" i="43"/>
  <c r="C12" i="43"/>
  <c r="B12" i="43"/>
  <c r="AF11" i="43"/>
  <c r="AE11" i="43"/>
  <c r="AD11" i="43"/>
  <c r="AB11" i="43"/>
  <c r="AA11" i="43"/>
  <c r="Z11" i="43"/>
  <c r="X11" i="43"/>
  <c r="W11" i="43"/>
  <c r="V11" i="43"/>
  <c r="T11" i="43"/>
  <c r="S11" i="43"/>
  <c r="R11" i="43"/>
  <c r="P11" i="43"/>
  <c r="O11" i="43"/>
  <c r="N11" i="43"/>
  <c r="L11" i="43"/>
  <c r="K11" i="43"/>
  <c r="J11" i="43"/>
  <c r="D11" i="43"/>
  <c r="C11" i="43"/>
  <c r="B11" i="43"/>
  <c r="C18" i="41"/>
  <c r="D18" i="41"/>
  <c r="E18" i="41"/>
  <c r="C17" i="41"/>
  <c r="D17" i="41"/>
  <c r="E17" i="41"/>
  <c r="B18" i="41"/>
  <c r="B17" i="41"/>
  <c r="S10" i="42"/>
  <c r="R10" i="42"/>
  <c r="S9" i="42"/>
  <c r="R9" i="42"/>
  <c r="P10" i="42"/>
  <c r="O10" i="42"/>
  <c r="P9" i="42"/>
  <c r="O9" i="42"/>
  <c r="M10" i="42"/>
  <c r="L10" i="42"/>
  <c r="M9" i="42"/>
  <c r="L9" i="42"/>
  <c r="I10" i="42"/>
  <c r="H10" i="42"/>
  <c r="I9" i="42"/>
  <c r="H9" i="42"/>
  <c r="F10" i="42"/>
  <c r="E10" i="42"/>
  <c r="F9" i="42"/>
  <c r="E9" i="42"/>
  <c r="C10" i="42"/>
  <c r="C9" i="42"/>
  <c r="B10" i="42"/>
  <c r="B9" i="42"/>
  <c r="C12" i="40"/>
  <c r="B12" i="40"/>
  <c r="C11" i="40"/>
  <c r="B11" i="40"/>
  <c r="F13" i="39"/>
  <c r="E13" i="39"/>
  <c r="F12" i="39"/>
  <c r="E12" i="39"/>
  <c r="C13" i="39"/>
  <c r="B13" i="39"/>
  <c r="C12" i="39"/>
  <c r="B12" i="39"/>
  <c r="B58" i="38"/>
  <c r="G59" i="38"/>
  <c r="F59" i="38"/>
  <c r="G58" i="38"/>
  <c r="F58" i="38"/>
  <c r="C59" i="38"/>
  <c r="B59" i="38"/>
  <c r="C58" i="38"/>
  <c r="G59" i="37"/>
  <c r="F59" i="37"/>
  <c r="G58" i="37"/>
  <c r="F58" i="37"/>
  <c r="C59" i="37"/>
  <c r="C58" i="37"/>
  <c r="B59" i="37"/>
  <c r="B58" i="37"/>
  <c r="J13" i="36"/>
  <c r="B13" i="36"/>
  <c r="K14" i="36"/>
  <c r="J14" i="36"/>
  <c r="K13" i="36"/>
  <c r="G14" i="36"/>
  <c r="F14" i="36"/>
  <c r="G13" i="36"/>
  <c r="F13" i="36"/>
  <c r="C14" i="36"/>
  <c r="B14" i="36"/>
  <c r="C13" i="36"/>
  <c r="C19" i="35"/>
  <c r="D19" i="35"/>
  <c r="C18" i="35"/>
  <c r="D18" i="35"/>
  <c r="B19" i="35"/>
  <c r="B18" i="35"/>
  <c r="C16" i="34"/>
  <c r="D16" i="34"/>
  <c r="B16" i="34"/>
  <c r="C15" i="34"/>
  <c r="D15" i="34"/>
  <c r="B15" i="34"/>
  <c r="N24" i="33"/>
  <c r="M24" i="33"/>
  <c r="L24" i="33"/>
  <c r="N23" i="33"/>
  <c r="M23" i="33"/>
  <c r="L23" i="33"/>
  <c r="I24" i="33"/>
  <c r="H24" i="33"/>
  <c r="G24" i="33"/>
  <c r="I23" i="33"/>
  <c r="H23" i="33"/>
  <c r="G23" i="33"/>
  <c r="C24" i="33"/>
  <c r="D24" i="33"/>
  <c r="B23" i="33"/>
  <c r="B24" i="33"/>
  <c r="F24" i="33"/>
  <c r="C23" i="33"/>
  <c r="D23" i="33"/>
  <c r="T13" i="32"/>
  <c r="S13" i="32"/>
  <c r="R13" i="32"/>
  <c r="T12" i="32"/>
  <c r="S12" i="32"/>
  <c r="R12" i="32"/>
  <c r="P13" i="32"/>
  <c r="O13" i="32"/>
  <c r="N13" i="32"/>
  <c r="P12" i="32"/>
  <c r="O12" i="32"/>
  <c r="N12" i="32"/>
  <c r="L13" i="32"/>
  <c r="K13" i="32"/>
  <c r="J13" i="32"/>
  <c r="L12" i="32"/>
  <c r="K12" i="32"/>
  <c r="J12" i="32"/>
  <c r="H13" i="32"/>
  <c r="G13" i="32"/>
  <c r="F13" i="32"/>
  <c r="H12" i="32"/>
  <c r="G12" i="32"/>
  <c r="F12" i="32"/>
  <c r="C13" i="32"/>
  <c r="D13" i="32"/>
  <c r="C12" i="32"/>
  <c r="D12" i="32"/>
  <c r="B13" i="32"/>
  <c r="B12" i="32"/>
  <c r="C37" i="31"/>
  <c r="C36" i="31"/>
  <c r="B37" i="31"/>
  <c r="B36" i="31"/>
  <c r="C18" i="30"/>
  <c r="D18" i="30"/>
  <c r="C17" i="30"/>
  <c r="D17" i="30"/>
  <c r="B18" i="30"/>
  <c r="B17" i="30"/>
  <c r="C18" i="29"/>
  <c r="D18" i="29"/>
  <c r="C17" i="29"/>
  <c r="D17" i="29"/>
  <c r="B17" i="29"/>
  <c r="B18" i="29"/>
  <c r="O19" i="27"/>
  <c r="N19" i="27"/>
  <c r="M19" i="27"/>
  <c r="L19" i="27"/>
  <c r="O18" i="27"/>
  <c r="N18" i="27"/>
  <c r="M18" i="27"/>
  <c r="L18" i="27"/>
  <c r="J19" i="27"/>
  <c r="I19" i="27"/>
  <c r="H19" i="27"/>
  <c r="G19" i="27"/>
  <c r="J18" i="27"/>
  <c r="I18" i="27"/>
  <c r="H18" i="27"/>
  <c r="G18" i="27"/>
  <c r="E18" i="27"/>
  <c r="C19" i="27"/>
  <c r="D19" i="27"/>
  <c r="E19" i="27"/>
  <c r="C18" i="27"/>
  <c r="D18" i="27"/>
  <c r="B19" i="27"/>
  <c r="B18" i="27"/>
  <c r="C75" i="25"/>
  <c r="D75" i="25"/>
  <c r="C74" i="25"/>
  <c r="D74" i="25"/>
  <c r="B75" i="25"/>
  <c r="B74" i="25"/>
  <c r="C35" i="24"/>
  <c r="B35" i="24"/>
  <c r="C36" i="24"/>
  <c r="B36" i="24"/>
  <c r="E12" i="23"/>
  <c r="E11" i="23"/>
  <c r="D12" i="23"/>
  <c r="D11" i="23"/>
  <c r="AB12" i="22"/>
  <c r="AA12" i="22"/>
  <c r="Z12" i="22"/>
  <c r="AB11" i="22"/>
  <c r="AA11" i="22"/>
  <c r="Z11" i="22"/>
  <c r="X12" i="22"/>
  <c r="W12" i="22"/>
  <c r="V12" i="22"/>
  <c r="X11" i="22"/>
  <c r="W11" i="22"/>
  <c r="V11" i="22"/>
  <c r="T12" i="22"/>
  <c r="S12" i="22"/>
  <c r="R12" i="22"/>
  <c r="T11" i="22"/>
  <c r="S11" i="22"/>
  <c r="R11" i="22"/>
  <c r="P12" i="22"/>
  <c r="O12" i="22"/>
  <c r="N12" i="22"/>
  <c r="P11" i="22"/>
  <c r="O11" i="22"/>
  <c r="N11" i="22"/>
  <c r="L12" i="22"/>
  <c r="K12" i="22"/>
  <c r="J12" i="22"/>
  <c r="L11" i="22"/>
  <c r="K11" i="22"/>
  <c r="J11" i="22"/>
  <c r="H12" i="22"/>
  <c r="G12" i="22"/>
  <c r="F12" i="22"/>
  <c r="H11" i="22"/>
  <c r="G11" i="22"/>
  <c r="F11" i="22"/>
  <c r="C12" i="22"/>
  <c r="D12" i="22"/>
  <c r="C11" i="22"/>
  <c r="D11" i="22"/>
  <c r="B12" i="22"/>
  <c r="B11" i="22"/>
  <c r="D13" i="21"/>
  <c r="E13" i="21"/>
  <c r="D12" i="21"/>
  <c r="E12" i="21"/>
  <c r="C13" i="21"/>
  <c r="C12" i="21"/>
  <c r="C19" i="20"/>
  <c r="D19" i="20"/>
  <c r="E19" i="20"/>
  <c r="C18" i="20"/>
  <c r="D18" i="20"/>
  <c r="E18" i="20"/>
  <c r="B19" i="20"/>
  <c r="B18" i="20"/>
  <c r="L12" i="19"/>
  <c r="K12" i="19"/>
  <c r="J12" i="19"/>
  <c r="I12" i="19"/>
  <c r="L11" i="19"/>
  <c r="K11" i="19"/>
  <c r="J11" i="19"/>
  <c r="I11" i="19"/>
  <c r="D12" i="19"/>
  <c r="E12" i="19"/>
  <c r="F12" i="19"/>
  <c r="C12" i="19"/>
  <c r="D11" i="19"/>
  <c r="E11" i="19"/>
  <c r="F11" i="19"/>
  <c r="C11" i="19"/>
  <c r="D12" i="18"/>
  <c r="D11" i="18"/>
  <c r="C11" i="18"/>
  <c r="F12" i="18"/>
  <c r="E12" i="18"/>
  <c r="C12" i="18"/>
  <c r="F11" i="18"/>
  <c r="E11" i="18"/>
  <c r="K13" i="17"/>
  <c r="J13" i="17"/>
  <c r="I13" i="17"/>
  <c r="H13" i="17"/>
  <c r="K12" i="17"/>
  <c r="J12" i="17"/>
  <c r="I12" i="17"/>
  <c r="H12" i="17"/>
  <c r="E12" i="17"/>
  <c r="C12" i="17"/>
  <c r="D12" i="17"/>
  <c r="C13" i="17"/>
  <c r="D13" i="17"/>
  <c r="E13" i="17"/>
  <c r="B13" i="17"/>
  <c r="B12" i="17"/>
  <c r="H13" i="16"/>
  <c r="G13" i="16"/>
  <c r="H12" i="16"/>
  <c r="G12" i="16"/>
  <c r="D13" i="16"/>
  <c r="D12" i="16"/>
  <c r="C13" i="16"/>
  <c r="C12" i="16"/>
  <c r="C15" i="10"/>
  <c r="D15" i="10"/>
  <c r="E15" i="10"/>
  <c r="F15" i="10"/>
  <c r="G15" i="10"/>
  <c r="H15" i="10"/>
  <c r="I15" i="10"/>
  <c r="C14" i="10"/>
  <c r="D14" i="10"/>
  <c r="E14" i="10"/>
  <c r="F14" i="10"/>
  <c r="G14" i="10"/>
  <c r="H14" i="10"/>
  <c r="I14" i="10"/>
  <c r="B15" i="10"/>
  <c r="B14" i="10"/>
  <c r="M13" i="15"/>
  <c r="L13" i="15"/>
  <c r="M12" i="15"/>
  <c r="L12" i="15"/>
  <c r="J13" i="15"/>
  <c r="I13" i="15"/>
  <c r="J12" i="15"/>
  <c r="I12" i="15"/>
  <c r="G13" i="15"/>
  <c r="F13" i="15"/>
  <c r="G12" i="15"/>
  <c r="F12" i="15"/>
  <c r="C13" i="15"/>
  <c r="C12" i="15"/>
  <c r="D13" i="15"/>
  <c r="D12" i="15"/>
  <c r="C14" i="14"/>
  <c r="C13" i="14"/>
  <c r="B14" i="14"/>
  <c r="B13" i="14"/>
  <c r="F11" i="13"/>
  <c r="E11" i="13"/>
  <c r="F10" i="13"/>
  <c r="E10" i="13"/>
  <c r="C11" i="13"/>
  <c r="B11" i="13"/>
  <c r="C10" i="13"/>
  <c r="B10" i="13"/>
  <c r="L18" i="12"/>
  <c r="K18" i="12"/>
  <c r="L17" i="12"/>
  <c r="K17" i="12"/>
  <c r="G18" i="12"/>
  <c r="F18" i="12"/>
  <c r="G17" i="12"/>
  <c r="F17" i="12"/>
  <c r="D18" i="12"/>
  <c r="D17" i="12"/>
  <c r="C18" i="12"/>
  <c r="C17" i="12"/>
  <c r="M14" i="7"/>
  <c r="L14" i="7"/>
  <c r="K14" i="7"/>
  <c r="J14" i="7"/>
  <c r="I14" i="7"/>
  <c r="M13" i="7"/>
  <c r="L13" i="7"/>
  <c r="K13" i="7"/>
  <c r="J13" i="7"/>
  <c r="I13" i="7"/>
  <c r="B13" i="7"/>
  <c r="F14" i="7"/>
  <c r="E14" i="7"/>
  <c r="D14" i="7"/>
  <c r="C14" i="7"/>
  <c r="B14" i="7"/>
  <c r="F13" i="7"/>
  <c r="E13" i="7"/>
  <c r="D13" i="7"/>
  <c r="C13" i="7"/>
  <c r="N17" i="11"/>
  <c r="M17" i="11"/>
  <c r="N16" i="11"/>
  <c r="M16" i="11"/>
  <c r="I17" i="11"/>
  <c r="H17" i="11"/>
  <c r="G17" i="11"/>
  <c r="I16" i="11"/>
  <c r="H16" i="11"/>
  <c r="C17" i="11"/>
  <c r="D17" i="11"/>
  <c r="B17" i="11"/>
  <c r="C16" i="11"/>
  <c r="D16" i="11"/>
  <c r="B16" i="11"/>
  <c r="T14" i="6"/>
  <c r="S14" i="6"/>
  <c r="R14" i="6"/>
  <c r="Q14" i="6"/>
  <c r="P14" i="6"/>
  <c r="T13" i="6"/>
  <c r="S13" i="6"/>
  <c r="R13" i="6"/>
  <c r="Q13" i="6"/>
  <c r="P13" i="6"/>
  <c r="M14" i="6"/>
  <c r="L14" i="6"/>
  <c r="K14" i="6"/>
  <c r="J14" i="6"/>
  <c r="I14" i="6"/>
  <c r="M13" i="6"/>
  <c r="L13" i="6"/>
  <c r="K13" i="6"/>
  <c r="J13" i="6"/>
  <c r="I13" i="6"/>
  <c r="C14" i="6"/>
  <c r="D14" i="6"/>
  <c r="E14" i="6"/>
  <c r="F14" i="6"/>
  <c r="B14" i="6"/>
  <c r="C13" i="6"/>
  <c r="D13" i="6"/>
  <c r="E13" i="6"/>
  <c r="F13" i="6"/>
  <c r="B13" i="6"/>
  <c r="T14" i="5"/>
  <c r="S14" i="5"/>
  <c r="R14" i="5"/>
  <c r="Q14" i="5"/>
  <c r="P14" i="5"/>
  <c r="T13" i="5"/>
  <c r="S13" i="5"/>
  <c r="R13" i="5"/>
  <c r="Q13" i="5"/>
  <c r="P13" i="5"/>
  <c r="M14" i="5"/>
  <c r="L14" i="5"/>
  <c r="K14" i="5"/>
  <c r="J14" i="5"/>
  <c r="I14" i="5"/>
  <c r="M13" i="5"/>
  <c r="L13" i="5"/>
  <c r="K13" i="5"/>
  <c r="J13" i="5"/>
  <c r="I13" i="5"/>
  <c r="B13" i="5"/>
  <c r="F14" i="5"/>
  <c r="E14" i="5"/>
  <c r="D14" i="5"/>
  <c r="C14" i="5"/>
  <c r="B14" i="5"/>
  <c r="F13" i="5"/>
  <c r="E13" i="5"/>
  <c r="D13" i="5"/>
  <c r="C13" i="5"/>
  <c r="P14" i="4"/>
  <c r="T13" i="4"/>
  <c r="S13" i="4"/>
  <c r="R13" i="4"/>
  <c r="Q13" i="4"/>
  <c r="J13" i="4"/>
  <c r="B13" i="4"/>
  <c r="F14" i="4"/>
  <c r="E14" i="4"/>
  <c r="D14" i="4"/>
  <c r="C14" i="4"/>
  <c r="B14" i="4"/>
  <c r="F13" i="4"/>
  <c r="E13" i="4"/>
  <c r="D13" i="4"/>
  <c r="C13" i="4"/>
  <c r="T40" i="3"/>
  <c r="S40" i="3"/>
  <c r="R40" i="3"/>
  <c r="Q40" i="3"/>
  <c r="P40" i="3"/>
  <c r="T39" i="3"/>
  <c r="S39" i="3"/>
  <c r="R39" i="3"/>
  <c r="Q39" i="3"/>
  <c r="P39" i="3"/>
  <c r="M40" i="3"/>
  <c r="L40" i="3"/>
  <c r="K40" i="3"/>
  <c r="J40" i="3"/>
  <c r="I40" i="3"/>
  <c r="M39" i="3"/>
  <c r="L39" i="3"/>
  <c r="K39" i="3"/>
  <c r="J39" i="3"/>
  <c r="I39" i="3"/>
  <c r="F40" i="3"/>
  <c r="E40" i="3"/>
  <c r="D40" i="3"/>
  <c r="C40" i="3"/>
  <c r="B40" i="3"/>
  <c r="F39" i="3"/>
  <c r="E39" i="3"/>
  <c r="D39" i="3"/>
  <c r="C39" i="3"/>
  <c r="B39" i="3"/>
  <c r="T18" i="2"/>
  <c r="S18" i="2"/>
  <c r="R18" i="2"/>
  <c r="Q18" i="2"/>
  <c r="P18" i="2"/>
  <c r="T17" i="2"/>
  <c r="S17" i="2"/>
  <c r="R17" i="2"/>
  <c r="Q17" i="2"/>
  <c r="P17" i="2"/>
  <c r="M18" i="2"/>
  <c r="L18" i="2"/>
  <c r="K18" i="2"/>
  <c r="J18" i="2"/>
  <c r="I18" i="2"/>
  <c r="M17" i="2"/>
  <c r="L17" i="2"/>
  <c r="K17" i="2"/>
  <c r="J17" i="2"/>
  <c r="I17" i="2"/>
  <c r="C18" i="2"/>
  <c r="D18" i="2"/>
  <c r="E18" i="2"/>
  <c r="F18" i="2"/>
  <c r="C17" i="2"/>
  <c r="D17" i="2"/>
  <c r="E17" i="2"/>
  <c r="F17" i="2"/>
  <c r="B18" i="2"/>
  <c r="B17" i="2"/>
  <c r="T47" i="1"/>
  <c r="S47" i="1"/>
  <c r="R47" i="1"/>
  <c r="Q47" i="1"/>
  <c r="P47" i="1"/>
  <c r="T46" i="1"/>
  <c r="S46" i="1"/>
  <c r="R46" i="1"/>
  <c r="Q46" i="1"/>
  <c r="P46" i="1"/>
  <c r="M47" i="1"/>
  <c r="L47" i="1"/>
  <c r="K47" i="1"/>
  <c r="J47" i="1"/>
  <c r="I47" i="1"/>
  <c r="M46" i="1"/>
  <c r="L46" i="1"/>
  <c r="K46" i="1"/>
  <c r="J46" i="1"/>
  <c r="I46" i="1"/>
  <c r="C46" i="1"/>
  <c r="D46" i="1"/>
  <c r="E46" i="1"/>
  <c r="F46" i="1"/>
  <c r="C47" i="1"/>
  <c r="D47" i="1"/>
  <c r="E47" i="1"/>
  <c r="F47" i="1"/>
  <c r="B47" i="1"/>
  <c r="B46" i="1"/>
  <c r="T10" i="4"/>
  <c r="T9" i="4"/>
  <c r="T8" i="4"/>
  <c r="T7" i="4"/>
  <c r="T6" i="4"/>
  <c r="T5" i="4"/>
  <c r="T4" i="4"/>
  <c r="T3" i="4"/>
  <c r="T14" i="4" s="1"/>
  <c r="S8" i="4"/>
  <c r="S7" i="4"/>
  <c r="S6" i="4"/>
  <c r="S5" i="4"/>
  <c r="S4" i="4"/>
  <c r="S3" i="4"/>
  <c r="S14" i="4" s="1"/>
  <c r="R9" i="4"/>
  <c r="R8" i="4"/>
  <c r="R7" i="4"/>
  <c r="R6" i="4"/>
  <c r="R5" i="4"/>
  <c r="R4" i="4"/>
  <c r="R3" i="4"/>
  <c r="R14" i="4" s="1"/>
  <c r="Q6" i="4"/>
  <c r="Q5" i="4"/>
  <c r="Q4" i="4"/>
  <c r="Q3" i="4"/>
  <c r="Q14" i="4" s="1"/>
  <c r="P10" i="4"/>
  <c r="P9" i="4"/>
  <c r="P8" i="4"/>
  <c r="P7" i="4"/>
  <c r="P6" i="4"/>
  <c r="P13" i="4" s="1"/>
  <c r="P5" i="4"/>
  <c r="P4" i="4"/>
  <c r="P3" i="4"/>
  <c r="M7" i="4"/>
  <c r="M6" i="4"/>
  <c r="M5" i="4"/>
  <c r="M4" i="4"/>
  <c r="M3" i="4"/>
  <c r="M14" i="4" s="1"/>
  <c r="L8" i="4"/>
  <c r="L7" i="4"/>
  <c r="L13" i="4" s="1"/>
  <c r="L6" i="4"/>
  <c r="L5" i="4"/>
  <c r="L4" i="4"/>
  <c r="L3" i="4"/>
  <c r="L14" i="4" s="1"/>
  <c r="K8" i="4"/>
  <c r="K7" i="4"/>
  <c r="K6" i="4"/>
  <c r="K5" i="4"/>
  <c r="K4" i="4"/>
  <c r="K3" i="4"/>
  <c r="K13" i="4" s="1"/>
  <c r="J8" i="4"/>
  <c r="J7" i="4"/>
  <c r="J6" i="4"/>
  <c r="J5" i="4"/>
  <c r="J4" i="4"/>
  <c r="J3" i="4"/>
  <c r="J14" i="4" s="1"/>
  <c r="I9" i="4"/>
  <c r="I8" i="4"/>
  <c r="I7" i="4"/>
  <c r="I6" i="4"/>
  <c r="I13" i="4" s="1"/>
  <c r="I5" i="4"/>
  <c r="I14" i="4" l="1"/>
  <c r="K14" i="4"/>
  <c r="M13" i="4"/>
  <c r="O4" i="27" l="1"/>
  <c r="O5" i="27"/>
  <c r="O6" i="27"/>
  <c r="O7" i="27"/>
  <c r="O8" i="27"/>
  <c r="O9" i="27"/>
  <c r="O10" i="27"/>
  <c r="O3" i="27"/>
  <c r="J4" i="27"/>
  <c r="J5" i="27"/>
  <c r="J6" i="27"/>
  <c r="J7" i="27"/>
  <c r="J8" i="27"/>
  <c r="J9" i="27"/>
  <c r="J10" i="27"/>
  <c r="J11" i="27"/>
  <c r="J12" i="27"/>
  <c r="J3" i="27"/>
  <c r="E4" i="27"/>
  <c r="E5" i="27"/>
  <c r="E6" i="27"/>
  <c r="E7" i="27"/>
  <c r="E8" i="27"/>
  <c r="E9" i="27"/>
  <c r="E10" i="27"/>
  <c r="E11" i="27"/>
  <c r="E12" i="27"/>
  <c r="E13" i="27"/>
  <c r="E14" i="27"/>
  <c r="E15" i="27"/>
  <c r="E3" i="27"/>
  <c r="K4" i="26" l="1"/>
  <c r="J21" i="26"/>
  <c r="J20" i="26"/>
  <c r="J19" i="26"/>
  <c r="J18" i="26"/>
  <c r="J14" i="26"/>
  <c r="J13" i="26"/>
  <c r="J12" i="26"/>
  <c r="J11" i="26"/>
  <c r="J8" i="26"/>
  <c r="K7" i="26"/>
  <c r="J7" i="26"/>
  <c r="J6" i="26"/>
  <c r="J5" i="26"/>
  <c r="J4" i="26"/>
  <c r="J22" i="26" l="1"/>
  <c r="K5" i="26"/>
  <c r="K6" i="26"/>
  <c r="K19" i="26"/>
  <c r="K20" i="26"/>
  <c r="K21" i="26"/>
  <c r="J15" i="26"/>
  <c r="K13" i="26" s="1"/>
  <c r="K18" i="26"/>
  <c r="K12" i="26" l="1"/>
  <c r="K14" i="26"/>
  <c r="K11" i="26"/>
</calcChain>
</file>

<file path=xl/sharedStrings.xml><?xml version="1.0" encoding="utf-8"?>
<sst xmlns="http://schemas.openxmlformats.org/spreadsheetml/2006/main" count="851" uniqueCount="284">
  <si>
    <t>3-5 Days</t>
  </si>
  <si>
    <t xml:space="preserve"> -/- or F/- Cre-</t>
  </si>
  <si>
    <t>FF Cre-</t>
  </si>
  <si>
    <t xml:space="preserve"> ++ Cre+</t>
  </si>
  <si>
    <t>F+ Cre+</t>
  </si>
  <si>
    <t>FF Cre+</t>
  </si>
  <si>
    <t>2  wk</t>
  </si>
  <si>
    <t>4  wk</t>
  </si>
  <si>
    <t>2 wk</t>
  </si>
  <si>
    <t>4 wk</t>
  </si>
  <si>
    <t>Did not use in the figure</t>
  </si>
  <si>
    <t>BrdU+ beta cells</t>
  </si>
  <si>
    <t>Grp78 KD</t>
  </si>
  <si>
    <t>GRP78 Quants</t>
  </si>
  <si>
    <t>cC3 Quants</t>
  </si>
  <si>
    <t>CHOP</t>
  </si>
  <si>
    <t>Animal ID</t>
  </si>
  <si>
    <t>Control (Ad-LacZ)</t>
  </si>
  <si>
    <t>Knockdown (Ad-Cre)</t>
  </si>
  <si>
    <t>2018 0920</t>
  </si>
  <si>
    <t>Gel1</t>
  </si>
  <si>
    <t>Gel 2</t>
  </si>
  <si>
    <t>Gel 3</t>
  </si>
  <si>
    <t>2018 1127</t>
  </si>
  <si>
    <t>Exp-1</t>
  </si>
  <si>
    <t>Exp-2</t>
  </si>
  <si>
    <t>Exp-3</t>
  </si>
  <si>
    <t>Exp-4</t>
  </si>
  <si>
    <t>2019 0328 </t>
  </si>
  <si>
    <t>Exp-1 (300+361)</t>
  </si>
  <si>
    <t xml:space="preserve">2019 0328 </t>
  </si>
  <si>
    <t>Exp-2 (315+392)</t>
  </si>
  <si>
    <t>2018 0602</t>
  </si>
  <si>
    <t>2019 0920</t>
  </si>
  <si>
    <t>Only AnnexinV</t>
  </si>
  <si>
    <t>AnnexinV+PI</t>
  </si>
  <si>
    <t>15-LacZ</t>
  </si>
  <si>
    <t>15-Cre</t>
  </si>
  <si>
    <t>21+23</t>
  </si>
  <si>
    <t>Date</t>
  </si>
  <si>
    <t>Ad- LacZ</t>
  </si>
  <si>
    <t>Ad-Cre</t>
  </si>
  <si>
    <t>2018 1023</t>
  </si>
  <si>
    <t xml:space="preserve">2018 1018 </t>
  </si>
  <si>
    <t>2018 1105</t>
  </si>
  <si>
    <t>Grp78</t>
  </si>
  <si>
    <t>iCre</t>
  </si>
  <si>
    <t>Grp94</t>
  </si>
  <si>
    <t>CalR</t>
  </si>
  <si>
    <t>2020 0309</t>
  </si>
  <si>
    <t>15-LacZ+Atf6Inh</t>
  </si>
  <si>
    <t>15-LacZ+Ire1 Inh</t>
  </si>
  <si>
    <t>15-LacZ+Perk Inh</t>
  </si>
  <si>
    <t>15-Cre+Atf6Inh</t>
  </si>
  <si>
    <t>15-Cre+Ire1 Inh</t>
  </si>
  <si>
    <t>15-Cre+Perk Inh</t>
  </si>
  <si>
    <t>2018 1023</t>
  </si>
  <si>
    <t>2018 1018</t>
  </si>
  <si>
    <t>2018 1105 Exp-1</t>
  </si>
  <si>
    <t>2018 1105 Exp-2</t>
  </si>
  <si>
    <t>2021 0217 (564)</t>
  </si>
  <si>
    <t>2021 0303</t>
  </si>
  <si>
    <t>2021 0322</t>
  </si>
  <si>
    <t>2022 04 29 (640+No tag)</t>
  </si>
  <si>
    <t>p-JNK</t>
  </si>
  <si>
    <t>Chop</t>
  </si>
  <si>
    <t>15-LacZ+Chop ShRNA</t>
  </si>
  <si>
    <t>15-Cre+Chop ShRNA</t>
  </si>
  <si>
    <t>393+394+395</t>
  </si>
  <si>
    <t>356+378+379</t>
  </si>
  <si>
    <t>300+361</t>
  </si>
  <si>
    <t>315+392</t>
  </si>
  <si>
    <t>pJNK</t>
  </si>
  <si>
    <t>15-LacZ+Jnk Inh</t>
  </si>
  <si>
    <t>15-Cre+Jnk Inh</t>
  </si>
  <si>
    <t xml:space="preserve">2018 1203 Gel 1 </t>
  </si>
  <si>
    <t>2018 1203 Gel 2</t>
  </si>
  <si>
    <t xml:space="preserve">2019 0328 Gel 1 </t>
  </si>
  <si>
    <t>2019 0328 Gel 2</t>
  </si>
  <si>
    <t>lacZ</t>
  </si>
  <si>
    <t>LacZ+Jnk Inh</t>
  </si>
  <si>
    <t>Cre</t>
  </si>
  <si>
    <t>Cre+JNK inh</t>
  </si>
  <si>
    <t>358+359</t>
  </si>
  <si>
    <t>364+365</t>
  </si>
  <si>
    <t>230+285+360</t>
  </si>
  <si>
    <t>310+311+No tag</t>
  </si>
  <si>
    <t>271+309+362+363</t>
  </si>
  <si>
    <t>353+357</t>
  </si>
  <si>
    <t>352+354</t>
  </si>
  <si>
    <t>p-p53</t>
  </si>
  <si>
    <t>LacZ</t>
  </si>
  <si>
    <t>2018 0819</t>
  </si>
  <si>
    <t>620+659+660+670</t>
  </si>
  <si>
    <t>659+720</t>
  </si>
  <si>
    <t>2021 0813</t>
  </si>
  <si>
    <t>712+713</t>
  </si>
  <si>
    <t>711+714</t>
  </si>
  <si>
    <t>Atf3</t>
  </si>
  <si>
    <t>Bak1</t>
  </si>
  <si>
    <t>Trib3</t>
  </si>
  <si>
    <t>Phlda3</t>
  </si>
  <si>
    <t>Sdc1</t>
  </si>
  <si>
    <t>Ier5</t>
  </si>
  <si>
    <t>Ad-LacZ</t>
  </si>
  <si>
    <t>Ad-Cre + Jnk Inh</t>
  </si>
  <si>
    <t>2020 0203</t>
  </si>
  <si>
    <t>2021 0216</t>
  </si>
  <si>
    <t>2021 1107</t>
  </si>
  <si>
    <t>644+732</t>
  </si>
  <si>
    <t>655+729</t>
  </si>
  <si>
    <t>707+708</t>
  </si>
  <si>
    <t>709+710</t>
  </si>
  <si>
    <t>659+670</t>
  </si>
  <si>
    <t>Ins1 cre</t>
  </si>
  <si>
    <t>H4</t>
  </si>
  <si>
    <t>H17</t>
  </si>
  <si>
    <t>I3</t>
  </si>
  <si>
    <t>I14</t>
  </si>
  <si>
    <t>I12</t>
  </si>
  <si>
    <t>Black Blank</t>
  </si>
  <si>
    <t xml:space="preserve">Ins1 Cre Grp78-Invivo JNK experiment </t>
  </si>
  <si>
    <t>p-JNK intensity normalized to background</t>
  </si>
  <si>
    <t>F+or+/+ Cre+</t>
  </si>
  <si>
    <t>KO+PBS</t>
  </si>
  <si>
    <t>KO+JNK Inh</t>
  </si>
  <si>
    <t>p-JNK Intensity</t>
  </si>
  <si>
    <t xml:space="preserve">Control </t>
  </si>
  <si>
    <t xml:space="preserve">Low </t>
  </si>
  <si>
    <t xml:space="preserve">Medium </t>
  </si>
  <si>
    <t>High</t>
  </si>
  <si>
    <t>very high</t>
  </si>
  <si>
    <t>First Set</t>
  </si>
  <si>
    <t>Second set</t>
  </si>
  <si>
    <t xml:space="preserve"> ++Cre+ (PBS)</t>
  </si>
  <si>
    <t xml:space="preserve"> FFCre+ (PBS)</t>
  </si>
  <si>
    <t xml:space="preserve"> FFCre+ (JNK Inh)</t>
  </si>
  <si>
    <t xml:space="preserve"> D=0</t>
  </si>
  <si>
    <t>D=3</t>
  </si>
  <si>
    <t>D=5</t>
  </si>
  <si>
    <t>% Change</t>
  </si>
  <si>
    <t>Cre- and Cre+ (PBS)</t>
  </si>
  <si>
    <t>FF Cre+ (PBS)</t>
  </si>
  <si>
    <t>FF Cre+ (JNK Inh)</t>
  </si>
  <si>
    <t>F+Cre+ (PBS)</t>
  </si>
  <si>
    <t>FF+Cre+ (PBS)</t>
  </si>
  <si>
    <t>FF+ Cre+ (JNK Inh)</t>
  </si>
  <si>
    <t>Control (PBS)</t>
  </si>
  <si>
    <t>HT (PBS)</t>
  </si>
  <si>
    <t>HT (JNK Inh)</t>
  </si>
  <si>
    <t xml:space="preserve">JNK Inh Exp-Liver gene expression </t>
  </si>
  <si>
    <t>Nfatc2/Actin</t>
  </si>
  <si>
    <t>Pvr/Actin</t>
  </si>
  <si>
    <t>Txnip/Actin</t>
  </si>
  <si>
    <t>Map1lc3b/Actin</t>
  </si>
  <si>
    <t>Lgals3/Actin</t>
  </si>
  <si>
    <t>AKITA-HT (PBS)</t>
  </si>
  <si>
    <t>AKITA-HT (JNK Inh)</t>
  </si>
  <si>
    <t>D=0</t>
  </si>
  <si>
    <t>Females</t>
  </si>
  <si>
    <t>Males</t>
  </si>
  <si>
    <t>TUNEL+ Beta Cells</t>
  </si>
  <si>
    <t>BCM-AKITA</t>
  </si>
  <si>
    <t>AKITA HT (PBS)</t>
  </si>
  <si>
    <t>AKITA HT (JNK Inh)</t>
  </si>
  <si>
    <t>p-JNK intensity insulin + area</t>
  </si>
  <si>
    <t>p-JNK normalized to insulin</t>
  </si>
  <si>
    <t>Control</t>
  </si>
  <si>
    <t>T2D</t>
  </si>
  <si>
    <t>Grp78 intensity insulin + area</t>
  </si>
  <si>
    <t>Grp78 intensity normalized to insulin</t>
  </si>
  <si>
    <t>Grp78/Actin</t>
  </si>
  <si>
    <t>Grp94/Actin</t>
  </si>
  <si>
    <t>Ad-Grp78 ShRNA</t>
  </si>
  <si>
    <t>17-01</t>
  </si>
  <si>
    <t xml:space="preserve"> </t>
  </si>
  <si>
    <t>17-02</t>
  </si>
  <si>
    <t>17-03</t>
  </si>
  <si>
    <t>17-04</t>
  </si>
  <si>
    <t>17-05</t>
  </si>
  <si>
    <t>TUNEL+ human beta cells</t>
  </si>
  <si>
    <t>21-08</t>
  </si>
  <si>
    <t>21-09</t>
  </si>
  <si>
    <t>21-10</t>
  </si>
  <si>
    <t>22-01</t>
  </si>
  <si>
    <t>22-02</t>
  </si>
  <si>
    <t>22-03</t>
  </si>
  <si>
    <t>NFATC2/GAPDH</t>
  </si>
  <si>
    <t>FOSB/GAPDH</t>
  </si>
  <si>
    <t>WEE1/GAPDH</t>
  </si>
  <si>
    <t>NFAT/Actin</t>
  </si>
  <si>
    <t>FOSB/Actin</t>
  </si>
  <si>
    <t>WEE1/Actin</t>
  </si>
  <si>
    <t>HI Identity</t>
  </si>
  <si>
    <t>22-04</t>
  </si>
  <si>
    <t>Not used</t>
  </si>
  <si>
    <t>KD</t>
  </si>
  <si>
    <t>JNK Inh</t>
  </si>
  <si>
    <t>p53 inh</t>
  </si>
  <si>
    <t>20-07</t>
  </si>
  <si>
    <t xml:space="preserve">                       </t>
  </si>
  <si>
    <t>21-11</t>
  </si>
  <si>
    <t>22-07</t>
  </si>
  <si>
    <t>23-01</t>
  </si>
  <si>
    <t>23-02</t>
  </si>
  <si>
    <t>Ave</t>
  </si>
  <si>
    <t>SD</t>
  </si>
  <si>
    <t>Grp78ff islets</t>
  </si>
  <si>
    <t>Ad-Cre + DMSO</t>
  </si>
  <si>
    <t>Ad-Cre + p53 Inh</t>
  </si>
  <si>
    <t>Ad-Cre + Ad-sh-p53</t>
  </si>
  <si>
    <t>p53</t>
  </si>
  <si>
    <t>15LacZ+p53 ShRNA</t>
  </si>
  <si>
    <t>15-Cre </t>
  </si>
  <si>
    <t>15-Cre+p53ShRNA</t>
  </si>
  <si>
    <t>AK+PBS</t>
  </si>
  <si>
    <t>AK+JNKI</t>
  </si>
  <si>
    <t>Day</t>
  </si>
  <si>
    <t>Cre+</t>
  </si>
  <si>
    <t>KO</t>
  </si>
  <si>
    <t>Cre-</t>
  </si>
  <si>
    <t>Cre1</t>
  </si>
  <si>
    <t>Blood glucose</t>
  </si>
  <si>
    <t>Blood glucose- 4 wks</t>
  </si>
  <si>
    <t>WT</t>
  </si>
  <si>
    <t>FF</t>
  </si>
  <si>
    <t>HT</t>
  </si>
  <si>
    <t>Insulin- 4 wks</t>
  </si>
  <si>
    <t>Body weight- 4 wks</t>
  </si>
  <si>
    <t>Body weight</t>
  </si>
  <si>
    <t>CTL</t>
  </si>
  <si>
    <t>Pancreas weight</t>
  </si>
  <si>
    <t>BrdU</t>
  </si>
  <si>
    <t>Dual+ cells</t>
  </si>
  <si>
    <t>3-5d</t>
  </si>
  <si>
    <t>Alpha cell mass</t>
  </si>
  <si>
    <t>2wk</t>
  </si>
  <si>
    <t>4wk</t>
  </si>
  <si>
    <t>Plasma glucagon</t>
  </si>
  <si>
    <t xml:space="preserve"> +/+ Cre-</t>
  </si>
  <si>
    <t>% SST cells</t>
  </si>
  <si>
    <t>% Insulin cells</t>
  </si>
  <si>
    <t>A. Ex vivo Grp78 knockdown</t>
  </si>
  <si>
    <t>B. ATF6a targets</t>
  </si>
  <si>
    <t>Hyou1</t>
  </si>
  <si>
    <t>Herpud1</t>
  </si>
  <si>
    <t>Pdia4</t>
  </si>
  <si>
    <t>C. Xbp1 splicing</t>
  </si>
  <si>
    <t>uXbp1</t>
  </si>
  <si>
    <t>sXbp1</t>
  </si>
  <si>
    <t>s:u Xbp1</t>
  </si>
  <si>
    <t>Erdj4</t>
  </si>
  <si>
    <t>Sec24d</t>
  </si>
  <si>
    <t>D. sXBP1 targets</t>
  </si>
  <si>
    <t>E. PERK pathway and ATF4 targets</t>
  </si>
  <si>
    <t>Atf4</t>
  </si>
  <si>
    <t>Areg</t>
  </si>
  <si>
    <t>Asna</t>
  </si>
  <si>
    <t>S100p</t>
  </si>
  <si>
    <t>A. Ex vivo Grp78 knockdown proliferation</t>
  </si>
  <si>
    <t>Ki67</t>
  </si>
  <si>
    <t>Pcna</t>
  </si>
  <si>
    <t>A. Ex vivo Grp78 knockdown BrdU</t>
  </si>
  <si>
    <t>BrdU%</t>
  </si>
  <si>
    <t>AK+PBS (F)</t>
  </si>
  <si>
    <t>AK+JNKI (F)</t>
  </si>
  <si>
    <t>AK+PBS (M)</t>
  </si>
  <si>
    <t>AK+JNKI (M)</t>
  </si>
  <si>
    <t>28d JNK inhibitor: plasma insulin</t>
  </si>
  <si>
    <t>combined</t>
  </si>
  <si>
    <t>female</t>
  </si>
  <si>
    <t>male</t>
  </si>
  <si>
    <t>28d JNK inhibitor: TUNEL</t>
  </si>
  <si>
    <t>28d JNK inhibitor: BCM</t>
  </si>
  <si>
    <t>15-LacZ+Atf6 Inh</t>
  </si>
  <si>
    <t>15-Grp78 ShRNA+Atf6 Inh</t>
  </si>
  <si>
    <t>15-LacZ+PERK Inh</t>
  </si>
  <si>
    <t>15-Grp78 ShRNA+PERK Inh</t>
  </si>
  <si>
    <t>15-LacZ+IRE1 Inh</t>
  </si>
  <si>
    <t>15-Grp78 ShRNA+IRE1 Inh</t>
  </si>
  <si>
    <t>%TUNEL+ beta cells</t>
  </si>
  <si>
    <t>15-Grp78 ShRNA+DMSO</t>
  </si>
  <si>
    <t>15-LacZ+DMSO</t>
  </si>
  <si>
    <t>Human GRP78 knockdown with UPR inhibitors: %TUNEL+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</si>
</sst>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0.00000000"/>
  </numFmts>
  <fonts count="19" x14ac:knownFonts="1">
    <font>
      <sz val="12"/>
      <color theme="1"/>
      <name val="Aptos Narrow"/>
      <family val="2"/>
      <scheme val="minor"/>
    </font>
    <font>
      <b/>
      <sz val="12"/>
      <color rgb="FFFF0000"/>
      <name val="Aptos Narrow"/>
      <scheme val="minor"/>
    </font>
    <font>
      <b/>
      <sz val="12"/>
      <color rgb="FF0432FF"/>
      <name val="Aptos Narrow"/>
      <scheme val="minor"/>
    </font>
    <font>
      <b/>
      <sz val="12"/>
      <color theme="1"/>
      <name val="Calibri"/>
      <family val="2"/>
    </font>
    <font>
      <b/>
      <sz val="12"/>
      <name val="Calibri"/>
      <family val="2"/>
    </font>
    <font>
      <sz val="12"/>
      <name val="Calibri"/>
      <family val="2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rgb="FFFF0000"/>
      <name val="Calibri"/>
      <family val="2"/>
    </font>
    <font>
      <b/>
      <sz val="12"/>
      <color rgb="FF0432FF"/>
      <name val="Calibri"/>
      <family val="2"/>
    </font>
    <font>
      <sz val="12"/>
      <color rgb="FFFF0000"/>
      <name val="Calibri"/>
      <family val="2"/>
    </font>
    <font>
      <sz val="16"/>
      <color rgb="FFFF0000"/>
      <name val="Calibri"/>
      <family val="2"/>
    </font>
    <font>
      <b/>
      <sz val="12"/>
      <color rgb="FF00B0F0"/>
      <name val="Calibri"/>
      <family val="2"/>
    </font>
    <font>
      <b/>
      <sz val="12"/>
      <color rgb="FFFF7E79"/>
      <name val="Calibri"/>
      <family val="2"/>
    </font>
    <font>
      <sz val="12"/>
      <color rgb="FF00B050"/>
      <name val="Calibri"/>
      <family val="2"/>
    </font>
    <font>
      <sz val="12"/>
      <color rgb="FF0432FF"/>
      <name val="Calibri"/>
      <family val="2"/>
    </font>
    <font>
      <sz val="12"/>
      <color rgb="FFFF7E79"/>
      <name val="Calibri"/>
      <family val="2"/>
    </font>
    <font>
      <i/>
      <sz val="12"/>
      <color rgb="FF0000FF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2" fillId="0" borderId="0" xfId="0" applyFont="1"/>
    <xf numFmtId="2" fontId="1" fillId="0" borderId="0" xfId="0" applyNumberFormat="1" applyFont="1"/>
    <xf numFmtId="2" fontId="2" fillId="0" borderId="0" xfId="0" applyNumberFormat="1" applyFont="1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164" fontId="9" fillId="0" borderId="0" xfId="0" applyNumberFormat="1" applyFont="1"/>
    <xf numFmtId="164" fontId="10" fillId="0" borderId="0" xfId="0" applyNumberFormat="1" applyFont="1"/>
    <xf numFmtId="2" fontId="5" fillId="0" borderId="0" xfId="0" applyNumberFormat="1" applyFont="1"/>
    <xf numFmtId="0" fontId="3" fillId="0" borderId="0" xfId="0" applyFont="1" applyAlignment="1">
      <alignment horizontal="center"/>
    </xf>
    <xf numFmtId="0" fontId="9" fillId="0" borderId="0" xfId="0" applyFont="1"/>
    <xf numFmtId="0" fontId="10" fillId="0" borderId="0" xfId="0" applyFont="1"/>
    <xf numFmtId="2" fontId="9" fillId="0" borderId="0" xfId="0" applyNumberFormat="1" applyFont="1"/>
    <xf numFmtId="2" fontId="10" fillId="0" borderId="0" xfId="0" applyNumberFormat="1" applyFont="1"/>
    <xf numFmtId="164" fontId="5" fillId="0" borderId="0" xfId="0" applyNumberFormat="1" applyFont="1"/>
    <xf numFmtId="2" fontId="6" fillId="0" borderId="0" xfId="0" applyNumberFormat="1" applyFont="1"/>
    <xf numFmtId="165" fontId="11" fillId="0" borderId="0" xfId="0" applyNumberFormat="1" applyFont="1"/>
    <xf numFmtId="165" fontId="5" fillId="0" borderId="0" xfId="0" applyNumberFormat="1" applyFont="1"/>
    <xf numFmtId="165" fontId="6" fillId="0" borderId="0" xfId="0" applyNumberFormat="1" applyFont="1"/>
    <xf numFmtId="0" fontId="11" fillId="0" borderId="0" xfId="0" applyFont="1"/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/>
    </xf>
    <xf numFmtId="2" fontId="8" fillId="0" borderId="0" xfId="0" applyNumberFormat="1" applyFont="1"/>
    <xf numFmtId="0" fontId="6" fillId="0" borderId="0" xfId="0" applyFont="1" applyAlignment="1">
      <alignment horizontal="right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12" fillId="0" borderId="0" xfId="0" applyFont="1"/>
    <xf numFmtId="0" fontId="3" fillId="0" borderId="0" xfId="0" applyFont="1" applyAlignment="1">
      <alignment wrapText="1"/>
    </xf>
    <xf numFmtId="49" fontId="5" fillId="0" borderId="0" xfId="0" applyNumberFormat="1" applyFont="1" applyAlignment="1">
      <alignment horizontal="center" vertical="center" wrapText="1"/>
    </xf>
    <xf numFmtId="2" fontId="11" fillId="0" borderId="0" xfId="0" applyNumberFormat="1" applyFont="1"/>
    <xf numFmtId="164" fontId="6" fillId="0" borderId="0" xfId="0" applyNumberFormat="1" applyFont="1"/>
    <xf numFmtId="164" fontId="6" fillId="0" borderId="0" xfId="0" applyNumberFormat="1" applyFont="1" applyAlignment="1">
      <alignment wrapText="1"/>
    </xf>
    <xf numFmtId="0" fontId="6" fillId="2" borderId="0" xfId="0" applyFont="1" applyFill="1"/>
    <xf numFmtId="0" fontId="6" fillId="3" borderId="0" xfId="0" applyFont="1" applyFill="1"/>
    <xf numFmtId="0" fontId="6" fillId="4" borderId="0" xfId="0" applyFont="1" applyFill="1"/>
    <xf numFmtId="0" fontId="6" fillId="5" borderId="0" xfId="0" applyFont="1" applyFill="1"/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6" fillId="0" borderId="0" xfId="0" applyFont="1"/>
    <xf numFmtId="2" fontId="6" fillId="0" borderId="0" xfId="0" applyNumberFormat="1" applyFont="1" applyAlignment="1">
      <alignment horizontal="center"/>
    </xf>
    <xf numFmtId="0" fontId="17" fillId="0" borderId="0" xfId="0" applyFont="1"/>
    <xf numFmtId="0" fontId="9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18" fillId="0" borderId="0" xfId="0" applyFont="1"/>
    <xf numFmtId="164" fontId="16" fillId="0" borderId="0" xfId="0" applyNumberFormat="1" applyFont="1"/>
    <xf numFmtId="0" fontId="11" fillId="0" borderId="0" xfId="0" applyFont="1" applyAlignment="1">
      <alignment wrapText="1"/>
    </xf>
    <xf numFmtId="166" fontId="6" fillId="0" borderId="0" xfId="0" applyNumberFormat="1" applyFont="1" applyAlignment="1">
      <alignment horizontal="left" indent="3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432FF"/>
      <color rgb="FFFF7E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F988F6-0652-9847-B09D-76EF21E3FB99}">
  <dimension ref="A1:T47"/>
  <sheetViews>
    <sheetView workbookViewId="0">
      <selection activeCell="D13" sqref="D13"/>
    </sheetView>
  </sheetViews>
  <sheetFormatPr baseColWidth="10" defaultColWidth="11" defaultRowHeight="16" x14ac:dyDescent="0.2"/>
  <cols>
    <col min="1" max="1" width="11" style="9"/>
    <col min="2" max="2" width="13.83203125" style="9" customWidth="1"/>
    <col min="3" max="7" width="11" style="9"/>
    <col min="8" max="8" width="1.1640625" style="9" customWidth="1"/>
    <col min="9" max="14" width="11" style="9"/>
    <col min="15" max="15" width="1.1640625" style="9" customWidth="1"/>
    <col min="16" max="16384" width="11" style="9"/>
  </cols>
  <sheetData>
    <row r="1" spans="2:20" x14ac:dyDescent="0.2">
      <c r="B1" s="5" t="s">
        <v>0</v>
      </c>
      <c r="C1" s="5"/>
      <c r="D1" s="5"/>
      <c r="E1" s="5"/>
      <c r="F1" s="5"/>
    </row>
    <row r="2" spans="2:20" x14ac:dyDescent="0.2"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I2" s="5" t="s">
        <v>6</v>
      </c>
      <c r="J2" s="5"/>
      <c r="K2" s="5"/>
      <c r="L2" s="5"/>
      <c r="M2" s="5"/>
      <c r="P2" s="5" t="s">
        <v>7</v>
      </c>
      <c r="Q2" s="5"/>
      <c r="R2" s="5"/>
      <c r="S2" s="5"/>
      <c r="T2" s="5"/>
    </row>
    <row r="3" spans="2:20" x14ac:dyDescent="0.2">
      <c r="B3" s="8">
        <v>136</v>
      </c>
      <c r="C3" s="8">
        <v>134</v>
      </c>
      <c r="D3" s="8">
        <v>168</v>
      </c>
      <c r="E3" s="8">
        <v>157</v>
      </c>
      <c r="F3" s="8">
        <v>192</v>
      </c>
      <c r="I3" s="5" t="s">
        <v>1</v>
      </c>
      <c r="J3" s="5" t="s">
        <v>2</v>
      </c>
      <c r="K3" s="5" t="s">
        <v>3</v>
      </c>
      <c r="L3" s="5" t="s">
        <v>4</v>
      </c>
      <c r="M3" s="5" t="s">
        <v>5</v>
      </c>
      <c r="P3" s="5" t="s">
        <v>1</v>
      </c>
      <c r="Q3" s="5" t="s">
        <v>2</v>
      </c>
      <c r="R3" s="5" t="s">
        <v>3</v>
      </c>
      <c r="S3" s="5" t="s">
        <v>4</v>
      </c>
      <c r="T3" s="5" t="s">
        <v>5</v>
      </c>
    </row>
    <row r="4" spans="2:20" x14ac:dyDescent="0.2">
      <c r="B4" s="8">
        <v>166</v>
      </c>
      <c r="C4" s="8">
        <v>132</v>
      </c>
      <c r="D4" s="8">
        <v>171</v>
      </c>
      <c r="E4" s="8">
        <v>187</v>
      </c>
      <c r="F4" s="8">
        <v>193</v>
      </c>
      <c r="I4" s="8">
        <v>165</v>
      </c>
      <c r="J4" s="8">
        <v>139</v>
      </c>
      <c r="K4" s="8">
        <v>106</v>
      </c>
      <c r="L4" s="8">
        <v>153</v>
      </c>
      <c r="M4" s="8">
        <v>205</v>
      </c>
      <c r="P4" s="8">
        <v>167</v>
      </c>
      <c r="Q4" s="8">
        <v>170</v>
      </c>
      <c r="R4" s="8">
        <v>255</v>
      </c>
      <c r="S4" s="8">
        <v>170</v>
      </c>
      <c r="T4" s="8">
        <v>478</v>
      </c>
    </row>
    <row r="5" spans="2:20" x14ac:dyDescent="0.2">
      <c r="B5" s="8">
        <v>187</v>
      </c>
      <c r="C5" s="8">
        <v>132</v>
      </c>
      <c r="D5" s="8">
        <v>162</v>
      </c>
      <c r="E5" s="8">
        <v>136</v>
      </c>
      <c r="F5" s="8">
        <v>154</v>
      </c>
      <c r="I5" s="8">
        <v>153</v>
      </c>
      <c r="J5" s="8">
        <v>145</v>
      </c>
      <c r="K5" s="8">
        <v>118</v>
      </c>
      <c r="L5" s="8">
        <v>164</v>
      </c>
      <c r="M5" s="8">
        <v>230</v>
      </c>
      <c r="P5" s="8">
        <v>190</v>
      </c>
      <c r="Q5" s="8">
        <v>212</v>
      </c>
      <c r="R5" s="8">
        <v>138</v>
      </c>
      <c r="S5" s="8">
        <v>150</v>
      </c>
      <c r="T5" s="8">
        <v>500</v>
      </c>
    </row>
    <row r="6" spans="2:20" x14ac:dyDescent="0.2">
      <c r="B6" s="8">
        <v>124</v>
      </c>
      <c r="C6" s="8">
        <v>134</v>
      </c>
      <c r="D6" s="8">
        <v>121</v>
      </c>
      <c r="E6" s="8">
        <v>138</v>
      </c>
      <c r="F6" s="8">
        <v>182</v>
      </c>
      <c r="I6" s="8">
        <v>139</v>
      </c>
      <c r="J6" s="8">
        <v>191</v>
      </c>
      <c r="K6" s="8">
        <v>135</v>
      </c>
      <c r="L6" s="8">
        <v>115</v>
      </c>
      <c r="M6" s="8">
        <v>236</v>
      </c>
      <c r="P6" s="8">
        <v>117</v>
      </c>
      <c r="Q6" s="8">
        <v>265</v>
      </c>
      <c r="R6" s="8">
        <v>208</v>
      </c>
      <c r="S6" s="8">
        <v>164</v>
      </c>
      <c r="T6" s="8">
        <v>451</v>
      </c>
    </row>
    <row r="7" spans="2:20" x14ac:dyDescent="0.2">
      <c r="B7" s="8">
        <v>96</v>
      </c>
      <c r="C7" s="8">
        <v>96</v>
      </c>
      <c r="E7" s="8">
        <v>133</v>
      </c>
      <c r="F7" s="8">
        <v>106</v>
      </c>
      <c r="I7" s="8">
        <v>123</v>
      </c>
      <c r="J7" s="8">
        <v>134</v>
      </c>
      <c r="K7" s="8">
        <v>153</v>
      </c>
      <c r="L7" s="8">
        <v>99</v>
      </c>
      <c r="M7" s="8">
        <v>167</v>
      </c>
      <c r="P7" s="8">
        <v>179</v>
      </c>
      <c r="Q7" s="8">
        <v>174</v>
      </c>
      <c r="R7" s="8">
        <v>202</v>
      </c>
      <c r="S7" s="8">
        <v>206</v>
      </c>
      <c r="T7" s="8">
        <v>500</v>
      </c>
    </row>
    <row r="8" spans="2:20" x14ac:dyDescent="0.2">
      <c r="B8" s="8">
        <v>139</v>
      </c>
      <c r="C8" s="8">
        <v>130</v>
      </c>
      <c r="E8" s="8"/>
      <c r="F8" s="8"/>
      <c r="I8" s="8">
        <v>141</v>
      </c>
      <c r="J8" s="8">
        <v>117</v>
      </c>
      <c r="K8" s="8">
        <v>95</v>
      </c>
      <c r="L8" s="8">
        <v>118</v>
      </c>
      <c r="M8" s="8">
        <v>159</v>
      </c>
      <c r="P8" s="8">
        <v>180</v>
      </c>
      <c r="Q8" s="8">
        <v>227</v>
      </c>
      <c r="R8" s="8">
        <v>222</v>
      </c>
      <c r="S8" s="8">
        <v>175</v>
      </c>
      <c r="T8" s="8">
        <v>500</v>
      </c>
    </row>
    <row r="9" spans="2:20" x14ac:dyDescent="0.2">
      <c r="B9" s="8">
        <v>186</v>
      </c>
      <c r="C9" s="8">
        <v>198</v>
      </c>
      <c r="E9" s="8"/>
      <c r="F9" s="8"/>
      <c r="I9" s="8">
        <v>165</v>
      </c>
      <c r="J9" s="8">
        <v>139</v>
      </c>
      <c r="K9" s="8">
        <v>106</v>
      </c>
      <c r="L9" s="8">
        <v>153</v>
      </c>
      <c r="M9" s="8">
        <v>205</v>
      </c>
      <c r="P9" s="8">
        <v>192</v>
      </c>
      <c r="Q9" s="8">
        <v>215</v>
      </c>
      <c r="R9" s="8">
        <v>218</v>
      </c>
      <c r="S9" s="8">
        <v>157</v>
      </c>
      <c r="T9" s="8">
        <v>447</v>
      </c>
    </row>
    <row r="10" spans="2:20" x14ac:dyDescent="0.2">
      <c r="B10" s="8">
        <v>129</v>
      </c>
      <c r="C10" s="8">
        <v>189</v>
      </c>
      <c r="E10" s="8"/>
      <c r="F10" s="8"/>
      <c r="I10" s="8">
        <v>153</v>
      </c>
      <c r="J10" s="8">
        <v>162</v>
      </c>
      <c r="K10" s="8">
        <v>118</v>
      </c>
      <c r="L10" s="8">
        <v>164</v>
      </c>
      <c r="M10" s="8">
        <v>230</v>
      </c>
      <c r="P10" s="8">
        <v>220</v>
      </c>
      <c r="R10" s="8">
        <v>189</v>
      </c>
      <c r="S10" s="8">
        <v>132</v>
      </c>
      <c r="T10" s="8">
        <v>449</v>
      </c>
    </row>
    <row r="11" spans="2:20" x14ac:dyDescent="0.2">
      <c r="B11" s="8">
        <v>168</v>
      </c>
      <c r="I11" s="8">
        <v>153</v>
      </c>
      <c r="J11" s="8">
        <v>145</v>
      </c>
      <c r="K11" s="8">
        <v>135</v>
      </c>
      <c r="L11" s="8">
        <v>99</v>
      </c>
      <c r="M11" s="8">
        <v>178</v>
      </c>
      <c r="P11" s="8">
        <v>197</v>
      </c>
      <c r="R11" s="8">
        <v>193</v>
      </c>
      <c r="S11" s="8"/>
      <c r="T11" s="8">
        <v>500</v>
      </c>
    </row>
    <row r="12" spans="2:20" x14ac:dyDescent="0.2">
      <c r="I12" s="8">
        <v>139</v>
      </c>
      <c r="J12" s="8">
        <v>191</v>
      </c>
      <c r="K12" s="8">
        <v>153</v>
      </c>
      <c r="L12" s="8">
        <v>118</v>
      </c>
      <c r="M12" s="8">
        <v>236</v>
      </c>
      <c r="P12" s="8">
        <v>230</v>
      </c>
      <c r="R12" s="8">
        <v>208</v>
      </c>
      <c r="S12" s="8"/>
      <c r="T12" s="8">
        <v>411</v>
      </c>
    </row>
    <row r="13" spans="2:20" x14ac:dyDescent="0.2">
      <c r="I13" s="8">
        <v>123</v>
      </c>
      <c r="J13" s="8">
        <v>134</v>
      </c>
      <c r="K13" s="8">
        <v>95</v>
      </c>
      <c r="L13" s="8">
        <v>145</v>
      </c>
      <c r="M13" s="8">
        <v>167</v>
      </c>
      <c r="P13" s="8">
        <v>230</v>
      </c>
      <c r="S13" s="8"/>
      <c r="T13" s="8">
        <v>406</v>
      </c>
    </row>
    <row r="14" spans="2:20" x14ac:dyDescent="0.2">
      <c r="I14" s="8">
        <v>124</v>
      </c>
      <c r="J14" s="8">
        <v>117</v>
      </c>
      <c r="K14" s="8">
        <v>116</v>
      </c>
      <c r="L14" s="8">
        <v>115</v>
      </c>
      <c r="M14" s="8">
        <v>159</v>
      </c>
      <c r="P14" s="8">
        <v>232</v>
      </c>
      <c r="S14" s="8"/>
      <c r="T14" s="8">
        <v>402</v>
      </c>
    </row>
    <row r="15" spans="2:20" x14ac:dyDescent="0.2">
      <c r="I15" s="8">
        <v>99</v>
      </c>
      <c r="J15" s="8">
        <v>176</v>
      </c>
      <c r="K15" s="8">
        <v>135</v>
      </c>
      <c r="L15" s="8">
        <v>120</v>
      </c>
      <c r="M15" s="8">
        <v>270</v>
      </c>
      <c r="P15" s="8">
        <v>180</v>
      </c>
      <c r="S15" s="8"/>
      <c r="T15" s="8">
        <v>500</v>
      </c>
    </row>
    <row r="16" spans="2:20" x14ac:dyDescent="0.2">
      <c r="I16" s="8">
        <v>141</v>
      </c>
      <c r="J16" s="8">
        <v>136</v>
      </c>
      <c r="L16" s="8">
        <v>116</v>
      </c>
      <c r="P16" s="8">
        <v>174</v>
      </c>
      <c r="S16" s="8"/>
      <c r="T16" s="8">
        <v>467</v>
      </c>
    </row>
    <row r="17" spans="9:20" x14ac:dyDescent="0.2">
      <c r="I17" s="8">
        <v>131</v>
      </c>
      <c r="J17" s="8">
        <v>201</v>
      </c>
      <c r="L17" s="8">
        <v>148</v>
      </c>
      <c r="P17" s="8">
        <v>168</v>
      </c>
      <c r="S17" s="8"/>
      <c r="T17" s="8">
        <v>500</v>
      </c>
    </row>
    <row r="18" spans="9:20" x14ac:dyDescent="0.2">
      <c r="I18" s="8">
        <v>165</v>
      </c>
      <c r="J18" s="8">
        <v>244</v>
      </c>
      <c r="L18" s="8">
        <v>107</v>
      </c>
      <c r="P18" s="8">
        <v>297</v>
      </c>
      <c r="S18" s="8"/>
      <c r="T18" s="8">
        <v>500</v>
      </c>
    </row>
    <row r="19" spans="9:20" x14ac:dyDescent="0.2">
      <c r="I19" s="8">
        <v>118</v>
      </c>
      <c r="J19" s="8">
        <v>166</v>
      </c>
      <c r="S19" s="8"/>
      <c r="T19" s="8">
        <v>500</v>
      </c>
    </row>
    <row r="20" spans="9:20" x14ac:dyDescent="0.2">
      <c r="I20" s="8">
        <v>136</v>
      </c>
      <c r="J20" s="8">
        <v>135</v>
      </c>
      <c r="S20" s="8"/>
      <c r="T20" s="8">
        <v>160</v>
      </c>
    </row>
    <row r="21" spans="9:20" x14ac:dyDescent="0.2">
      <c r="I21" s="8">
        <v>113</v>
      </c>
    </row>
    <row r="22" spans="9:20" x14ac:dyDescent="0.2">
      <c r="I22" s="8">
        <v>139</v>
      </c>
    </row>
    <row r="23" spans="9:20" x14ac:dyDescent="0.2">
      <c r="I23" s="8">
        <v>136</v>
      </c>
    </row>
    <row r="24" spans="9:20" x14ac:dyDescent="0.2">
      <c r="I24" s="8">
        <v>184</v>
      </c>
    </row>
    <row r="25" spans="9:20" x14ac:dyDescent="0.2">
      <c r="I25" s="8">
        <v>171</v>
      </c>
    </row>
    <row r="26" spans="9:20" x14ac:dyDescent="0.2">
      <c r="I26" s="8">
        <v>157</v>
      </c>
    </row>
    <row r="27" spans="9:20" x14ac:dyDescent="0.2">
      <c r="I27" s="8">
        <v>128</v>
      </c>
    </row>
    <row r="28" spans="9:20" x14ac:dyDescent="0.2">
      <c r="I28" s="8">
        <v>131</v>
      </c>
    </row>
    <row r="29" spans="9:20" x14ac:dyDescent="0.2">
      <c r="I29" s="8">
        <v>154</v>
      </c>
    </row>
    <row r="30" spans="9:20" x14ac:dyDescent="0.2">
      <c r="I30" s="8">
        <v>126</v>
      </c>
    </row>
    <row r="31" spans="9:20" x14ac:dyDescent="0.2">
      <c r="I31" s="8">
        <v>140</v>
      </c>
    </row>
    <row r="32" spans="9:20" x14ac:dyDescent="0.2">
      <c r="I32" s="8">
        <v>172</v>
      </c>
    </row>
    <row r="33" spans="1:20" x14ac:dyDescent="0.2">
      <c r="I33" s="8">
        <v>179</v>
      </c>
    </row>
    <row r="34" spans="1:20" x14ac:dyDescent="0.2">
      <c r="I34" s="8">
        <v>176</v>
      </c>
    </row>
    <row r="35" spans="1:20" x14ac:dyDescent="0.2">
      <c r="I35" s="8">
        <v>154</v>
      </c>
    </row>
    <row r="36" spans="1:20" x14ac:dyDescent="0.2">
      <c r="I36" s="8">
        <v>221</v>
      </c>
    </row>
    <row r="37" spans="1:20" x14ac:dyDescent="0.2">
      <c r="I37" s="8">
        <v>165</v>
      </c>
    </row>
    <row r="38" spans="1:20" x14ac:dyDescent="0.2">
      <c r="I38" s="8">
        <v>152</v>
      </c>
    </row>
    <row r="39" spans="1:20" x14ac:dyDescent="0.2">
      <c r="I39" s="8">
        <v>160</v>
      </c>
    </row>
    <row r="40" spans="1:20" x14ac:dyDescent="0.2">
      <c r="I40" s="8">
        <v>117</v>
      </c>
    </row>
    <row r="41" spans="1:20" x14ac:dyDescent="0.2">
      <c r="I41" s="8">
        <v>151</v>
      </c>
    </row>
    <row r="42" spans="1:20" x14ac:dyDescent="0.2">
      <c r="I42" s="8">
        <v>122</v>
      </c>
    </row>
    <row r="46" spans="1:20" x14ac:dyDescent="0.2">
      <c r="A46" s="17" t="s">
        <v>205</v>
      </c>
      <c r="B46" s="13">
        <f>AVERAGE(B3:B45)</f>
        <v>147.88888888888889</v>
      </c>
      <c r="C46" s="13">
        <f t="shared" ref="C46:F46" si="0">AVERAGE(C3:C45)</f>
        <v>143.125</v>
      </c>
      <c r="D46" s="13">
        <f t="shared" si="0"/>
        <v>155.5</v>
      </c>
      <c r="E46" s="13">
        <f t="shared" si="0"/>
        <v>150.19999999999999</v>
      </c>
      <c r="F46" s="13">
        <f t="shared" si="0"/>
        <v>165.4</v>
      </c>
      <c r="I46" s="13">
        <f>AVERAGE(I3:I45)</f>
        <v>146.56410256410257</v>
      </c>
      <c r="J46" s="13">
        <f t="shared" ref="J46" si="1">AVERAGE(J3:J45)</f>
        <v>157.1764705882353</v>
      </c>
      <c r="K46" s="13">
        <f t="shared" ref="K46" si="2">AVERAGE(K3:K45)</f>
        <v>122.08333333333333</v>
      </c>
      <c r="L46" s="13">
        <f t="shared" ref="L46" si="3">AVERAGE(L3:L45)</f>
        <v>128.93333333333334</v>
      </c>
      <c r="M46" s="13">
        <f t="shared" ref="M46" si="4">AVERAGE(M3:M45)</f>
        <v>203.5</v>
      </c>
      <c r="P46" s="13">
        <f>AVERAGE(P3:P45)</f>
        <v>196.86666666666667</v>
      </c>
      <c r="Q46" s="13">
        <f t="shared" ref="Q46" si="5">AVERAGE(Q3:Q45)</f>
        <v>210.5</v>
      </c>
      <c r="R46" s="13">
        <f t="shared" ref="R46" si="6">AVERAGE(R3:R45)</f>
        <v>203.66666666666666</v>
      </c>
      <c r="S46" s="13">
        <f t="shared" ref="S46" si="7">AVERAGE(S3:S45)</f>
        <v>164.85714285714286</v>
      </c>
      <c r="T46" s="13">
        <f t="shared" ref="T46" si="8">AVERAGE(T3:T45)</f>
        <v>451.23529411764707</v>
      </c>
    </row>
    <row r="47" spans="1:20" x14ac:dyDescent="0.2">
      <c r="A47" s="18" t="s">
        <v>206</v>
      </c>
      <c r="B47" s="14">
        <f>STDEV(B3:B45)</f>
        <v>30.730459012372553</v>
      </c>
      <c r="C47" s="14">
        <f t="shared" ref="C47:F47" si="9">STDEV(C3:C45)</f>
        <v>33.642819229581306</v>
      </c>
      <c r="D47" s="14">
        <f t="shared" si="9"/>
        <v>23.302360395462088</v>
      </c>
      <c r="E47" s="14">
        <f t="shared" si="9"/>
        <v>22.620786900547927</v>
      </c>
      <c r="F47" s="14">
        <f t="shared" si="9"/>
        <v>36.753231150471692</v>
      </c>
      <c r="I47" s="14">
        <f>STDEV(I3:I45)</f>
        <v>23.559325868063905</v>
      </c>
      <c r="J47" s="14">
        <f t="shared" ref="J47:M47" si="10">STDEV(J3:J45)</f>
        <v>33.913926516472642</v>
      </c>
      <c r="K47" s="14">
        <f t="shared" si="10"/>
        <v>20.151509455455997</v>
      </c>
      <c r="L47" s="14">
        <f t="shared" si="10"/>
        <v>22.970374294688675</v>
      </c>
      <c r="M47" s="14">
        <f t="shared" si="10"/>
        <v>37.196040845034226</v>
      </c>
      <c r="P47" s="14">
        <f>STDEV(P3:P45)</f>
        <v>41.038077556384216</v>
      </c>
      <c r="Q47" s="14">
        <f t="shared" ref="Q47:T47" si="11">STDEV(Q3:Q45)</f>
        <v>35.319966024898719</v>
      </c>
      <c r="R47" s="14">
        <f t="shared" si="11"/>
        <v>31.340867888429639</v>
      </c>
      <c r="S47" s="14">
        <f t="shared" si="11"/>
        <v>23.039303891600582</v>
      </c>
      <c r="T47" s="14">
        <f t="shared" si="11"/>
        <v>83.261282577621884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980FE7-4E7D-B54A-8D50-17B43B3B7EE0}">
  <dimension ref="A3:C14"/>
  <sheetViews>
    <sheetView workbookViewId="0">
      <selection sqref="A1:XFD1048576"/>
    </sheetView>
  </sheetViews>
  <sheetFormatPr baseColWidth="10" defaultColWidth="11" defaultRowHeight="16" x14ac:dyDescent="0.2"/>
  <cols>
    <col min="1" max="1" width="12" style="31" customWidth="1"/>
    <col min="2" max="16384" width="11" style="9"/>
  </cols>
  <sheetData>
    <row r="3" spans="1:3" ht="17" x14ac:dyDescent="0.2">
      <c r="A3" s="31" t="s">
        <v>39</v>
      </c>
      <c r="B3" s="9" t="s">
        <v>40</v>
      </c>
      <c r="C3" s="9" t="s">
        <v>41</v>
      </c>
    </row>
    <row r="4" spans="1:3" ht="17" x14ac:dyDescent="0.2">
      <c r="A4" s="31" t="s">
        <v>42</v>
      </c>
      <c r="B4" s="22">
        <v>0.82474226804123718</v>
      </c>
      <c r="C4" s="22">
        <v>1.2195121951219512</v>
      </c>
    </row>
    <row r="5" spans="1:3" ht="14" customHeight="1" x14ac:dyDescent="0.2">
      <c r="A5" s="31" t="s">
        <v>43</v>
      </c>
      <c r="B5" s="22">
        <v>1.1331444759206799</v>
      </c>
      <c r="C5" s="22">
        <v>2.8322440087145968</v>
      </c>
    </row>
    <row r="6" spans="1:3" ht="17" x14ac:dyDescent="0.2">
      <c r="A6" s="31" t="s">
        <v>43</v>
      </c>
      <c r="B6" s="22">
        <v>0.30257186081694404</v>
      </c>
      <c r="C6" s="22">
        <v>1.5463917525773196</v>
      </c>
    </row>
    <row r="7" spans="1:3" ht="17" customHeight="1" x14ac:dyDescent="0.2">
      <c r="A7" s="31" t="s">
        <v>44</v>
      </c>
      <c r="B7" s="22">
        <v>0.91623036649214651</v>
      </c>
      <c r="C7" s="22">
        <v>2.0437956204379564</v>
      </c>
    </row>
    <row r="8" spans="1:3" ht="17" customHeight="1" x14ac:dyDescent="0.2">
      <c r="A8" s="31" t="s">
        <v>44</v>
      </c>
      <c r="B8" s="22">
        <v>1.3333333333333335</v>
      </c>
      <c r="C8" s="22">
        <v>2.2821576763485476</v>
      </c>
    </row>
    <row r="13" spans="1:3" x14ac:dyDescent="0.2">
      <c r="A13" s="17" t="s">
        <v>205</v>
      </c>
      <c r="B13" s="19">
        <f>AVERAGE(B4:B11)</f>
        <v>0.90200446092086817</v>
      </c>
      <c r="C13" s="19">
        <f>AVERAGE(C4:C11)</f>
        <v>1.9848202506400743</v>
      </c>
    </row>
    <row r="14" spans="1:3" x14ac:dyDescent="0.2">
      <c r="A14" s="18" t="s">
        <v>206</v>
      </c>
      <c r="B14" s="20">
        <f>STDEV(B4:B11)</f>
        <v>0.38889637682034467</v>
      </c>
      <c r="C14" s="20">
        <f>STDEV(C4:C11)</f>
        <v>0.63006559826604103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A598E9-A084-F946-82A6-E816B619B2C1}">
  <dimension ref="A1:M13"/>
  <sheetViews>
    <sheetView workbookViewId="0">
      <selection sqref="A1:XFD1048576"/>
    </sheetView>
  </sheetViews>
  <sheetFormatPr baseColWidth="10" defaultColWidth="11" defaultRowHeight="16" x14ac:dyDescent="0.2"/>
  <cols>
    <col min="1" max="1" width="11" style="9"/>
    <col min="2" max="2" width="5.83203125" style="9" customWidth="1"/>
    <col min="3" max="4" width="11" style="9"/>
    <col min="5" max="5" width="1" style="9" customWidth="1"/>
    <col min="6" max="7" width="11" style="9"/>
    <col min="8" max="8" width="1" style="9" customWidth="1"/>
    <col min="9" max="10" width="11" style="9"/>
    <col min="11" max="11" width="1.1640625" style="9" customWidth="1"/>
    <col min="12" max="16384" width="11" style="9"/>
  </cols>
  <sheetData>
    <row r="1" spans="1:13" x14ac:dyDescent="0.2">
      <c r="C1" s="5" t="s">
        <v>45</v>
      </c>
      <c r="D1" s="5"/>
      <c r="E1" s="5"/>
      <c r="F1" s="5" t="s">
        <v>46</v>
      </c>
      <c r="G1" s="5"/>
      <c r="H1" s="5"/>
      <c r="I1" s="5" t="s">
        <v>47</v>
      </c>
      <c r="J1" s="5"/>
      <c r="K1" s="5"/>
      <c r="L1" s="5" t="s">
        <v>48</v>
      </c>
      <c r="M1" s="5"/>
    </row>
    <row r="2" spans="1:13" x14ac:dyDescent="0.2">
      <c r="C2" s="5" t="s">
        <v>40</v>
      </c>
      <c r="D2" s="5" t="s">
        <v>41</v>
      </c>
      <c r="E2" s="5"/>
      <c r="F2" s="5" t="s">
        <v>40</v>
      </c>
      <c r="G2" s="5" t="s">
        <v>41</v>
      </c>
      <c r="H2" s="5"/>
      <c r="I2" s="5" t="s">
        <v>40</v>
      </c>
      <c r="J2" s="5" t="s">
        <v>41</v>
      </c>
      <c r="K2" s="5"/>
      <c r="L2" s="5" t="s">
        <v>40</v>
      </c>
      <c r="M2" s="5" t="s">
        <v>41</v>
      </c>
    </row>
    <row r="3" spans="1:13" x14ac:dyDescent="0.2">
      <c r="A3" s="9" t="s">
        <v>49</v>
      </c>
      <c r="B3" s="9" t="s">
        <v>24</v>
      </c>
      <c r="C3" s="22">
        <v>4.5277577402878562</v>
      </c>
      <c r="D3" s="22">
        <v>0.22523434643916623</v>
      </c>
      <c r="F3" s="22">
        <v>2.261002873875003E-3</v>
      </c>
      <c r="G3" s="22">
        <v>432.4306602128936</v>
      </c>
      <c r="I3" s="22">
        <v>0.60506137600259147</v>
      </c>
      <c r="J3" s="22">
        <v>1.2765705101137979</v>
      </c>
      <c r="L3" s="22">
        <v>0.53736423031819136</v>
      </c>
      <c r="M3" s="22">
        <v>1.1759823873756279</v>
      </c>
    </row>
    <row r="4" spans="1:13" x14ac:dyDescent="0.2">
      <c r="A4" s="9" t="s">
        <v>49</v>
      </c>
      <c r="B4" s="9" t="s">
        <v>25</v>
      </c>
      <c r="C4" s="22">
        <v>4.3369014130338162</v>
      </c>
      <c r="D4" s="22">
        <v>0.23748021674091641</v>
      </c>
      <c r="F4" s="22">
        <v>1.4883237253571382E-3</v>
      </c>
      <c r="G4" s="22">
        <v>391.40786077937889</v>
      </c>
      <c r="I4" s="22">
        <v>0.57618810331077841</v>
      </c>
      <c r="J4" s="22">
        <v>1.2366722859607251</v>
      </c>
      <c r="L4" s="22">
        <v>0.58344021131389423</v>
      </c>
      <c r="M4" s="22">
        <v>1.1589379804100708</v>
      </c>
    </row>
    <row r="5" spans="1:13" x14ac:dyDescent="0.2">
      <c r="A5" s="9" t="s">
        <v>49</v>
      </c>
      <c r="B5" s="9" t="s">
        <v>26</v>
      </c>
      <c r="C5" s="22">
        <v>3.4670543923064234</v>
      </c>
      <c r="D5" s="22">
        <v>0.34946638227990817</v>
      </c>
      <c r="F5" s="22">
        <v>3.3394272897612241E-4</v>
      </c>
      <c r="G5" s="22">
        <v>849.7088076231862</v>
      </c>
      <c r="I5" s="22">
        <v>0.51251613411332031</v>
      </c>
      <c r="J5" s="22">
        <v>1.5731913433469118</v>
      </c>
      <c r="L5" s="22">
        <v>0.56653699070100139</v>
      </c>
      <c r="M5" s="22">
        <v>1.211883289579277</v>
      </c>
    </row>
    <row r="6" spans="1:13" x14ac:dyDescent="0.2">
      <c r="A6" s="9" t="s">
        <v>49</v>
      </c>
      <c r="B6" s="9" t="s">
        <v>27</v>
      </c>
      <c r="C6" s="22">
        <v>6.0501635169816756</v>
      </c>
      <c r="D6" s="22">
        <v>0.18568169976362311</v>
      </c>
      <c r="F6" s="22">
        <v>4.6916970351276911E-4</v>
      </c>
      <c r="G6" s="22">
        <v>1052.7313788093379</v>
      </c>
      <c r="I6" s="22">
        <v>0.60678338314610081</v>
      </c>
      <c r="J6" s="22">
        <v>1.5772319997186692</v>
      </c>
      <c r="L6" s="22">
        <v>0.56653989309678243</v>
      </c>
      <c r="M6" s="22">
        <v>1.3707548690393268</v>
      </c>
    </row>
    <row r="12" spans="1:13" x14ac:dyDescent="0.2">
      <c r="B12" s="17" t="s">
        <v>205</v>
      </c>
      <c r="C12" s="19">
        <f>AVERAGE(C3:C10)</f>
        <v>4.5954692656524427</v>
      </c>
      <c r="D12" s="19">
        <f>AVERAGE(D3:D10)</f>
        <v>0.2494656613059035</v>
      </c>
      <c r="F12" s="19">
        <f>AVERAGE(F3:F10)</f>
        <v>1.1381097579302583E-3</v>
      </c>
      <c r="G12" s="19">
        <f>AVERAGE(G3:G10)</f>
        <v>681.56967685619918</v>
      </c>
      <c r="I12" s="19">
        <f>AVERAGE(I3:I10)</f>
        <v>0.57513724914319775</v>
      </c>
      <c r="J12" s="19">
        <f>AVERAGE(J3:J10)</f>
        <v>1.415916534785026</v>
      </c>
      <c r="L12" s="19">
        <f>AVERAGE(L3:L10)</f>
        <v>0.56347033135746738</v>
      </c>
      <c r="M12" s="19">
        <f>AVERAGE(M3:M10)</f>
        <v>1.2293896316010755</v>
      </c>
    </row>
    <row r="13" spans="1:13" x14ac:dyDescent="0.2">
      <c r="B13" s="18" t="s">
        <v>206</v>
      </c>
      <c r="C13" s="20">
        <f>STDEV(C3:C10)</f>
        <v>1.0740728833609396</v>
      </c>
      <c r="D13" s="20">
        <f>STDEV(D3:D10)</f>
        <v>7.0236138482833207E-2</v>
      </c>
      <c r="F13" s="20">
        <f>STDEV(F3:F10)</f>
        <v>9.0879117140627507E-4</v>
      </c>
      <c r="G13" s="20">
        <f>STDEV(G3:G10)</f>
        <v>322.64320097946171</v>
      </c>
      <c r="I13" s="20">
        <f>STDEV(I3:I10)</f>
        <v>4.4043310152974989E-2</v>
      </c>
      <c r="J13" s="20">
        <f>STDEV(J3:J10)</f>
        <v>0.18466533690543954</v>
      </c>
      <c r="L13" s="20">
        <f>STDEV(L3:L10)</f>
        <v>1.9141153097865158E-2</v>
      </c>
      <c r="M13" s="20">
        <f>STDEV(M3:M10)</f>
        <v>9.6792512207389519E-2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CF467B-746C-A34D-9140-BA89B71C004F}">
  <dimension ref="A1:I19"/>
  <sheetViews>
    <sheetView workbookViewId="0">
      <selection sqref="A1:XFD1048576"/>
    </sheetView>
  </sheetViews>
  <sheetFormatPr baseColWidth="10" defaultColWidth="11" defaultRowHeight="16" x14ac:dyDescent="0.2"/>
  <cols>
    <col min="1" max="1" width="23.83203125" style="9" customWidth="1"/>
    <col min="2" max="2" width="11" style="9"/>
    <col min="3" max="3" width="13.1640625" style="9" customWidth="1"/>
    <col min="4" max="4" width="14.5" style="9" customWidth="1"/>
    <col min="5" max="5" width="15.33203125" style="9" customWidth="1"/>
    <col min="6" max="6" width="11" style="9"/>
    <col min="7" max="7" width="12.83203125" style="9" customWidth="1"/>
    <col min="8" max="8" width="14.5" style="9" customWidth="1"/>
    <col min="9" max="9" width="14.83203125" style="9" customWidth="1"/>
    <col min="10" max="16384" width="11" style="9"/>
  </cols>
  <sheetData>
    <row r="1" spans="1:9" s="31" customFormat="1" ht="34" x14ac:dyDescent="0.2">
      <c r="A1" s="32"/>
      <c r="B1" s="33" t="s">
        <v>36</v>
      </c>
      <c r="C1" s="33" t="s">
        <v>50</v>
      </c>
      <c r="D1" s="33" t="s">
        <v>51</v>
      </c>
      <c r="E1" s="33" t="s">
        <v>52</v>
      </c>
      <c r="F1" s="33" t="s">
        <v>37</v>
      </c>
      <c r="G1" s="33" t="s">
        <v>53</v>
      </c>
      <c r="H1" s="33" t="s">
        <v>54</v>
      </c>
      <c r="I1" s="33" t="s">
        <v>55</v>
      </c>
    </row>
    <row r="2" spans="1:9" x14ac:dyDescent="0.2">
      <c r="A2" s="28" t="s">
        <v>56</v>
      </c>
      <c r="B2" s="8">
        <v>0.82</v>
      </c>
      <c r="C2" s="8">
        <v>0.67</v>
      </c>
      <c r="D2" s="8">
        <v>1.1299999999999999</v>
      </c>
      <c r="E2" s="8">
        <v>1.07</v>
      </c>
      <c r="F2" s="8">
        <v>1.22</v>
      </c>
      <c r="G2" s="8">
        <v>3.12</v>
      </c>
      <c r="H2" s="8">
        <v>0.34</v>
      </c>
      <c r="I2" s="8">
        <v>0.81</v>
      </c>
    </row>
    <row r="3" spans="1:9" x14ac:dyDescent="0.2">
      <c r="A3" s="28" t="s">
        <v>57</v>
      </c>
      <c r="B3" s="8">
        <v>1.1299999999999999</v>
      </c>
      <c r="C3" s="15">
        <v>1.9337016574585635</v>
      </c>
      <c r="D3" s="8"/>
      <c r="E3" s="8"/>
      <c r="F3" s="8">
        <v>2.83</v>
      </c>
      <c r="G3" s="8"/>
      <c r="H3" s="8"/>
      <c r="I3" s="8"/>
    </row>
    <row r="4" spans="1:9" x14ac:dyDescent="0.2">
      <c r="A4" s="28" t="s">
        <v>58</v>
      </c>
      <c r="B4" s="8">
        <v>0.92</v>
      </c>
      <c r="C4" s="8">
        <v>1.37</v>
      </c>
      <c r="D4" s="8">
        <v>1.05</v>
      </c>
      <c r="E4" s="8">
        <v>1.24</v>
      </c>
      <c r="F4" s="8">
        <v>2.04</v>
      </c>
      <c r="G4" s="8">
        <v>0.98</v>
      </c>
      <c r="H4" s="8">
        <v>1.08</v>
      </c>
      <c r="I4" s="8">
        <v>1.46</v>
      </c>
    </row>
    <row r="5" spans="1:9" x14ac:dyDescent="0.2">
      <c r="A5" s="28" t="s">
        <v>59</v>
      </c>
      <c r="B5" s="8">
        <v>1.33</v>
      </c>
      <c r="C5" s="8">
        <v>3.46</v>
      </c>
      <c r="D5" s="8">
        <v>2.34</v>
      </c>
      <c r="E5" s="8">
        <v>3.24</v>
      </c>
      <c r="F5" s="8">
        <v>2.2799999999999998</v>
      </c>
      <c r="G5" s="8">
        <v>3.01</v>
      </c>
      <c r="H5" s="8">
        <v>1.58</v>
      </c>
      <c r="I5" s="8">
        <v>1.38</v>
      </c>
    </row>
    <row r="6" spans="1:9" x14ac:dyDescent="0.2">
      <c r="A6" s="28" t="s">
        <v>60</v>
      </c>
      <c r="B6" s="8">
        <v>0.3</v>
      </c>
      <c r="C6" s="8">
        <v>1.23</v>
      </c>
      <c r="D6" s="8">
        <v>0.2</v>
      </c>
      <c r="E6" s="8">
        <v>0.33</v>
      </c>
      <c r="F6" s="8">
        <v>1.03</v>
      </c>
      <c r="G6" s="8">
        <v>1.1000000000000001</v>
      </c>
      <c r="H6" s="8">
        <v>0.54</v>
      </c>
      <c r="I6" s="8">
        <v>0.19</v>
      </c>
    </row>
    <row r="7" spans="1:9" x14ac:dyDescent="0.2">
      <c r="A7" s="28"/>
      <c r="B7" s="15"/>
      <c r="C7" s="15"/>
      <c r="D7" s="15"/>
      <c r="E7" s="15"/>
      <c r="F7" s="8"/>
      <c r="G7" s="8"/>
      <c r="H7" s="8"/>
      <c r="I7" s="8"/>
    </row>
    <row r="8" spans="1:9" x14ac:dyDescent="0.2">
      <c r="A8" s="28" t="s">
        <v>61</v>
      </c>
      <c r="B8" s="8">
        <v>2.99</v>
      </c>
      <c r="C8" s="8">
        <v>22.57</v>
      </c>
      <c r="D8" s="8">
        <v>3.71</v>
      </c>
      <c r="E8" s="8">
        <v>4.49</v>
      </c>
      <c r="F8" s="8">
        <v>3.96</v>
      </c>
      <c r="G8" s="8">
        <v>19.5</v>
      </c>
      <c r="H8" s="8">
        <v>2.52</v>
      </c>
      <c r="I8" s="8"/>
    </row>
    <row r="9" spans="1:9" x14ac:dyDescent="0.2">
      <c r="A9" s="28" t="s">
        <v>62</v>
      </c>
      <c r="B9" s="8">
        <v>1.1499999999999999</v>
      </c>
      <c r="C9" s="8">
        <v>2.4500000000000002</v>
      </c>
      <c r="D9" s="8">
        <v>1.9</v>
      </c>
      <c r="E9" s="8">
        <v>1.38</v>
      </c>
      <c r="F9" s="8">
        <v>2.38</v>
      </c>
      <c r="G9" s="8">
        <v>3.93</v>
      </c>
      <c r="H9" s="8">
        <v>2.75</v>
      </c>
      <c r="I9" s="8">
        <v>2.97</v>
      </c>
    </row>
    <row r="10" spans="1:9" x14ac:dyDescent="0.2">
      <c r="A10" s="28" t="s">
        <v>62</v>
      </c>
      <c r="B10" s="8">
        <v>2.41</v>
      </c>
      <c r="C10" s="8">
        <v>5.31</v>
      </c>
      <c r="D10" s="8">
        <v>2.0699999999999998</v>
      </c>
      <c r="E10" s="8">
        <v>3.42</v>
      </c>
      <c r="F10" s="8">
        <v>3.85</v>
      </c>
      <c r="G10" s="8">
        <v>2.19</v>
      </c>
      <c r="H10" s="8">
        <v>2.4500000000000002</v>
      </c>
      <c r="I10" s="8">
        <v>1.0900000000000001</v>
      </c>
    </row>
    <row r="11" spans="1:9" x14ac:dyDescent="0.2">
      <c r="A11" s="28" t="s">
        <v>63</v>
      </c>
      <c r="B11" s="8">
        <v>0.56000000000000005</v>
      </c>
      <c r="C11" s="8">
        <v>1.63</v>
      </c>
      <c r="D11" s="8">
        <v>0.55000000000000004</v>
      </c>
      <c r="E11" s="8">
        <v>1.93</v>
      </c>
      <c r="F11" s="8">
        <v>1.06</v>
      </c>
      <c r="G11" s="8">
        <v>1.31</v>
      </c>
      <c r="H11" s="8">
        <v>0.57999999999999996</v>
      </c>
      <c r="I11" s="8">
        <v>1.7</v>
      </c>
    </row>
    <row r="12" spans="1:9" x14ac:dyDescent="0.2">
      <c r="B12" s="8"/>
      <c r="C12" s="8"/>
      <c r="D12" s="8"/>
      <c r="E12" s="8"/>
      <c r="F12" s="8"/>
      <c r="G12" s="8"/>
      <c r="H12" s="8"/>
      <c r="I12" s="8"/>
    </row>
    <row r="14" spans="1:9" x14ac:dyDescent="0.2">
      <c r="A14" s="17" t="s">
        <v>205</v>
      </c>
      <c r="B14" s="19">
        <f>AVERAGE(B2:B12)</f>
        <v>1.29</v>
      </c>
      <c r="C14" s="19">
        <f t="shared" ref="C14:I14" si="0">AVERAGE(C2:C12)</f>
        <v>4.5137446286065073</v>
      </c>
      <c r="D14" s="19">
        <f t="shared" si="0"/>
        <v>1.6187500000000001</v>
      </c>
      <c r="E14" s="19">
        <f t="shared" si="0"/>
        <v>2.1375000000000002</v>
      </c>
      <c r="F14" s="19">
        <f t="shared" si="0"/>
        <v>2.2944444444444443</v>
      </c>
      <c r="G14" s="19">
        <f t="shared" si="0"/>
        <v>4.3925000000000001</v>
      </c>
      <c r="H14" s="19">
        <f t="shared" si="0"/>
        <v>1.4800000000000002</v>
      </c>
      <c r="I14" s="19">
        <f t="shared" si="0"/>
        <v>1.3714285714285714</v>
      </c>
    </row>
    <row r="15" spans="1:9" x14ac:dyDescent="0.2">
      <c r="A15" s="18" t="s">
        <v>206</v>
      </c>
      <c r="B15" s="20">
        <f>STDEV(B2:B12)</f>
        <v>0.87048836867588331</v>
      </c>
      <c r="C15" s="20">
        <f t="shared" ref="C15:I15" si="1">STDEV(C2:C12)</f>
        <v>6.9141601708883558</v>
      </c>
      <c r="D15" s="20">
        <f t="shared" si="1"/>
        <v>1.1271764660931691</v>
      </c>
      <c r="E15" s="20">
        <f t="shared" si="1"/>
        <v>1.4254598255600595</v>
      </c>
      <c r="F15" s="20">
        <f t="shared" si="1"/>
        <v>1.1084912168248244</v>
      </c>
      <c r="G15" s="20">
        <f t="shared" si="1"/>
        <v>6.1969986975263165</v>
      </c>
      <c r="H15" s="20">
        <f t="shared" si="1"/>
        <v>0.98550929545518295</v>
      </c>
      <c r="I15" s="20">
        <f t="shared" si="1"/>
        <v>0.86231140105008053</v>
      </c>
    </row>
    <row r="19" spans="1:1" ht="21" x14ac:dyDescent="0.25">
      <c r="A19" s="34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291ED9-EB63-B643-9B9E-B7B74D258C18}">
  <dimension ref="A2:H13"/>
  <sheetViews>
    <sheetView workbookViewId="0">
      <selection sqref="A1:XFD1048576"/>
    </sheetView>
  </sheetViews>
  <sheetFormatPr baseColWidth="10" defaultColWidth="11" defaultRowHeight="16" x14ac:dyDescent="0.2"/>
  <cols>
    <col min="1" max="5" width="11" style="9"/>
    <col min="6" max="6" width="0.83203125" style="9" customWidth="1"/>
    <col min="7" max="16384" width="11" style="9"/>
  </cols>
  <sheetData>
    <row r="2" spans="1:8" x14ac:dyDescent="0.2">
      <c r="A2" s="5" t="s">
        <v>45</v>
      </c>
      <c r="B2" s="5"/>
      <c r="C2" s="5"/>
      <c r="D2" s="5"/>
      <c r="G2" s="5" t="s">
        <v>64</v>
      </c>
      <c r="H2" s="5"/>
    </row>
    <row r="3" spans="1:8" ht="17" x14ac:dyDescent="0.2">
      <c r="A3" s="35" t="s">
        <v>39</v>
      </c>
      <c r="B3" s="5"/>
      <c r="C3" s="5" t="s">
        <v>40</v>
      </c>
      <c r="D3" s="5" t="s">
        <v>41</v>
      </c>
      <c r="G3" s="5" t="s">
        <v>40</v>
      </c>
      <c r="H3" s="5" t="s">
        <v>41</v>
      </c>
    </row>
    <row r="4" spans="1:8" x14ac:dyDescent="0.2">
      <c r="A4" s="9" t="s">
        <v>19</v>
      </c>
      <c r="B4" s="9" t="s">
        <v>20</v>
      </c>
      <c r="C4" s="22">
        <v>1.2593233126621559</v>
      </c>
      <c r="D4" s="22">
        <v>0.83196939084973887</v>
      </c>
      <c r="G4" s="22">
        <v>0.78637682058767489</v>
      </c>
      <c r="H4" s="22">
        <v>1.3563308098892004</v>
      </c>
    </row>
    <row r="5" spans="1:8" x14ac:dyDescent="0.2">
      <c r="A5" s="9" t="s">
        <v>19</v>
      </c>
      <c r="B5" s="9" t="s">
        <v>21</v>
      </c>
      <c r="C5" s="22">
        <v>1.3382377612389948</v>
      </c>
      <c r="D5" s="22">
        <v>0.72599120075222268</v>
      </c>
      <c r="G5" s="22">
        <v>0.43697621133798836</v>
      </c>
      <c r="H5" s="22">
        <v>1.456109547656935</v>
      </c>
    </row>
    <row r="6" spans="1:8" x14ac:dyDescent="0.2">
      <c r="A6" s="9" t="s">
        <v>19</v>
      </c>
      <c r="B6" s="9" t="s">
        <v>22</v>
      </c>
      <c r="C6" s="22">
        <v>1.3939436799464819</v>
      </c>
      <c r="D6" s="22">
        <v>0.70095200893472753</v>
      </c>
      <c r="G6" s="22">
        <v>0.57634959742707192</v>
      </c>
      <c r="H6" s="22">
        <v>1.3215987671654981</v>
      </c>
    </row>
    <row r="7" spans="1:8" x14ac:dyDescent="0.2">
      <c r="A7" s="31"/>
      <c r="C7" s="22"/>
    </row>
    <row r="8" spans="1:8" x14ac:dyDescent="0.2">
      <c r="A8" s="31"/>
      <c r="C8" s="22"/>
    </row>
    <row r="12" spans="1:8" x14ac:dyDescent="0.2">
      <c r="B12" s="17" t="s">
        <v>205</v>
      </c>
      <c r="C12" s="19">
        <f>AVERAGE(C4:C7)</f>
        <v>1.3305015846158776</v>
      </c>
      <c r="D12" s="19">
        <f>AVERAGE(D4:D7)</f>
        <v>0.75297086684556314</v>
      </c>
      <c r="G12" s="19">
        <f>AVERAGE(G4:G7)</f>
        <v>0.59990087645091172</v>
      </c>
      <c r="H12" s="19">
        <f>AVERAGE(H4:H7)</f>
        <v>1.3780130415705445</v>
      </c>
    </row>
    <row r="13" spans="1:8" x14ac:dyDescent="0.2">
      <c r="B13" s="18" t="s">
        <v>206</v>
      </c>
      <c r="C13" s="20">
        <f>STDEV(C4:C7)</f>
        <v>6.7642790772555791E-2</v>
      </c>
      <c r="D13" s="20">
        <f>STDEV(D4:D7)</f>
        <v>6.9550811482304714E-2</v>
      </c>
      <c r="G13" s="20">
        <f>STDEV(G4:G7)</f>
        <v>0.17588687697994154</v>
      </c>
      <c r="H13" s="20">
        <f>STDEV(H4:H7)</f>
        <v>6.9827479512842891E-2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DCC0B-7B5D-8F4D-BE99-91A06B134963}">
  <dimension ref="A1:K13"/>
  <sheetViews>
    <sheetView workbookViewId="0">
      <selection sqref="A1:XFD1048576"/>
    </sheetView>
  </sheetViews>
  <sheetFormatPr baseColWidth="10" defaultColWidth="11" defaultRowHeight="16" x14ac:dyDescent="0.2"/>
  <cols>
    <col min="1" max="5" width="11" style="9"/>
    <col min="6" max="6" width="10.5" style="9" customWidth="1"/>
    <col min="7" max="7" width="0.83203125" style="9" customWidth="1"/>
    <col min="8" max="16384" width="11" style="9"/>
  </cols>
  <sheetData>
    <row r="1" spans="1:11" x14ac:dyDescent="0.2">
      <c r="B1" s="9" t="s">
        <v>45</v>
      </c>
      <c r="H1" s="9" t="s">
        <v>65</v>
      </c>
    </row>
    <row r="2" spans="1:11" s="31" customFormat="1" ht="51" x14ac:dyDescent="0.2">
      <c r="B2" s="31" t="s">
        <v>36</v>
      </c>
      <c r="C2" s="31" t="s">
        <v>37</v>
      </c>
      <c r="D2" s="31" t="s">
        <v>66</v>
      </c>
      <c r="E2" s="31" t="s">
        <v>67</v>
      </c>
      <c r="H2" s="31" t="s">
        <v>36</v>
      </c>
      <c r="I2" s="31" t="s">
        <v>37</v>
      </c>
      <c r="J2" s="31" t="s">
        <v>66</v>
      </c>
      <c r="K2" s="31" t="s">
        <v>67</v>
      </c>
    </row>
    <row r="3" spans="1:11" x14ac:dyDescent="0.2">
      <c r="A3" s="9" t="s">
        <v>24</v>
      </c>
      <c r="B3" s="22">
        <v>2.934944726222311</v>
      </c>
      <c r="C3" s="22">
        <v>0.31937722308197791</v>
      </c>
      <c r="D3" s="22">
        <v>2.5638881638414657</v>
      </c>
      <c r="E3" s="22">
        <v>0.36433394776673589</v>
      </c>
      <c r="F3" s="22"/>
      <c r="G3" s="22"/>
      <c r="H3" s="22">
        <v>0.66242697753678648</v>
      </c>
      <c r="I3" s="22">
        <v>2.9810763662580961</v>
      </c>
      <c r="J3" s="22">
        <v>0.31552655486547021</v>
      </c>
      <c r="K3" s="22">
        <v>0.91435945245210537</v>
      </c>
    </row>
    <row r="4" spans="1:11" x14ac:dyDescent="0.2">
      <c r="A4" s="9" t="s">
        <v>25</v>
      </c>
      <c r="B4" s="22">
        <v>4.9904387724505996</v>
      </c>
      <c r="C4" s="22">
        <v>0.19266503334144799</v>
      </c>
      <c r="D4" s="22">
        <v>4.0816901450939245</v>
      </c>
      <c r="E4" s="22">
        <v>0.3002355394375304</v>
      </c>
      <c r="F4" s="22"/>
      <c r="G4" s="22"/>
      <c r="H4" s="22">
        <v>0.67517497308409513</v>
      </c>
      <c r="I4" s="22">
        <v>2.4255860027514631</v>
      </c>
      <c r="J4" s="22">
        <v>0.29695852057968936</v>
      </c>
      <c r="K4" s="22">
        <v>0.77826497317432619</v>
      </c>
    </row>
    <row r="5" spans="1:11" x14ac:dyDescent="0.2">
      <c r="A5" s="9" t="s">
        <v>26</v>
      </c>
      <c r="B5" s="22">
        <v>4.2702161306694864</v>
      </c>
      <c r="C5" s="22">
        <v>0.22114025466530282</v>
      </c>
      <c r="D5" s="22">
        <v>2.8523989902822509</v>
      </c>
      <c r="E5" s="22">
        <v>0.37125478837887582</v>
      </c>
      <c r="F5" s="22"/>
      <c r="G5" s="22"/>
      <c r="H5" s="22">
        <v>1.0455704585931085</v>
      </c>
      <c r="I5" s="22">
        <v>4.7917215069172974</v>
      </c>
      <c r="J5" s="22">
        <v>0.58806368767330053</v>
      </c>
      <c r="K5" s="22">
        <v>0.33941479070494907</v>
      </c>
    </row>
    <row r="6" spans="1:11" x14ac:dyDescent="0.2">
      <c r="A6" s="9" t="s">
        <v>27</v>
      </c>
      <c r="B6" s="22">
        <v>4.2094763484077786</v>
      </c>
      <c r="C6" s="22">
        <v>0.2129031084719909</v>
      </c>
      <c r="D6" s="22">
        <v>3.0472624540001698</v>
      </c>
      <c r="E6" s="22">
        <v>0.36616772625516836</v>
      </c>
      <c r="F6" s="22"/>
      <c r="G6" s="22"/>
      <c r="H6" s="22">
        <v>0.90470242373746756</v>
      </c>
      <c r="I6" s="22">
        <v>4.0887607750755137</v>
      </c>
      <c r="J6" s="22">
        <v>0.45499838347785621</v>
      </c>
      <c r="K6" s="22">
        <v>0.59414533404984227</v>
      </c>
    </row>
    <row r="12" spans="1:11" x14ac:dyDescent="0.2">
      <c r="A12" s="17" t="s">
        <v>205</v>
      </c>
      <c r="B12" s="19">
        <f>AVERAGE(B3:B7)</f>
        <v>4.101268994437544</v>
      </c>
      <c r="C12" s="19">
        <f t="shared" ref="C12:D12" si="0">AVERAGE(C3:C7)</f>
        <v>0.23652140489017992</v>
      </c>
      <c r="D12" s="19">
        <f t="shared" si="0"/>
        <v>3.1363099383044526</v>
      </c>
      <c r="E12" s="19">
        <f>AVERAGE(E3:E7)</f>
        <v>0.35049800045957757</v>
      </c>
      <c r="H12" s="19">
        <f>AVERAGE(H3:H7)</f>
        <v>0.82196870823786439</v>
      </c>
      <c r="I12" s="19">
        <f t="shared" ref="I12:J12" si="1">AVERAGE(I3:I7)</f>
        <v>3.5717861627505929</v>
      </c>
      <c r="J12" s="19">
        <f t="shared" si="1"/>
        <v>0.41388678664907907</v>
      </c>
      <c r="K12" s="19">
        <f>AVERAGE(K3:K7)</f>
        <v>0.65654613759530567</v>
      </c>
    </row>
    <row r="13" spans="1:11" x14ac:dyDescent="0.2">
      <c r="A13" s="18" t="s">
        <v>206</v>
      </c>
      <c r="B13" s="20">
        <f>STDEV(B3:B7)</f>
        <v>0.85463192058604642</v>
      </c>
      <c r="C13" s="20">
        <f t="shared" ref="C13:E13" si="2">STDEV(C3:C7)</f>
        <v>5.6518055054971462E-2</v>
      </c>
      <c r="D13" s="20">
        <f t="shared" si="2"/>
        <v>0.6607937913692512</v>
      </c>
      <c r="E13" s="20">
        <f t="shared" si="2"/>
        <v>3.3635957828465859E-2</v>
      </c>
      <c r="H13" s="20">
        <f>STDEV(H3:H7)</f>
        <v>0.18605068750010842</v>
      </c>
      <c r="I13" s="20">
        <f t="shared" ref="I13:K13" si="3">STDEV(I3:I7)</f>
        <v>1.0674296017677019</v>
      </c>
      <c r="J13" s="20">
        <f t="shared" si="3"/>
        <v>0.13586109431662488</v>
      </c>
      <c r="K13" s="20">
        <f t="shared" si="3"/>
        <v>0.2488301507158216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C0307-BA6A-B74E-958F-0B137BAA1746}">
  <dimension ref="B1:F12"/>
  <sheetViews>
    <sheetView workbookViewId="0">
      <selection sqref="A1:XFD1048576"/>
    </sheetView>
  </sheetViews>
  <sheetFormatPr baseColWidth="10" defaultColWidth="11" defaultRowHeight="16" x14ac:dyDescent="0.2"/>
  <cols>
    <col min="1" max="1" width="11" style="9"/>
    <col min="2" max="2" width="12.83203125" style="9" customWidth="1"/>
    <col min="3" max="16384" width="11" style="9"/>
  </cols>
  <sheetData>
    <row r="1" spans="2:6" s="31" customFormat="1" ht="51" x14ac:dyDescent="0.2">
      <c r="B1" s="31" t="s">
        <v>16</v>
      </c>
      <c r="C1" s="31" t="s">
        <v>36</v>
      </c>
      <c r="D1" s="31" t="s">
        <v>66</v>
      </c>
      <c r="E1" s="31" t="s">
        <v>37</v>
      </c>
      <c r="F1" s="31" t="s">
        <v>67</v>
      </c>
    </row>
    <row r="2" spans="2:6" x14ac:dyDescent="0.2">
      <c r="B2" s="9" t="s">
        <v>68</v>
      </c>
      <c r="C2" s="22">
        <v>0.93959731543624159</v>
      </c>
      <c r="D2" s="22">
        <v>0.95569070373588194</v>
      </c>
      <c r="E2" s="22">
        <v>2.2143489813994686</v>
      </c>
      <c r="F2" s="22">
        <v>2.0224719101123596</v>
      </c>
    </row>
    <row r="3" spans="2:6" x14ac:dyDescent="0.2">
      <c r="B3" s="9" t="s">
        <v>69</v>
      </c>
      <c r="C3" s="22">
        <v>1.3663535439795047</v>
      </c>
      <c r="D3" s="22">
        <v>4.2749371332774517</v>
      </c>
      <c r="E3" s="22">
        <v>2.3417172593235036</v>
      </c>
      <c r="F3" s="22">
        <v>1.9163763066202089</v>
      </c>
    </row>
    <row r="4" spans="2:6" x14ac:dyDescent="0.2">
      <c r="B4" s="9" t="s">
        <v>70</v>
      </c>
      <c r="C4" s="22">
        <v>1.7982017982017984</v>
      </c>
      <c r="D4" s="22">
        <v>2.2938623682579045</v>
      </c>
      <c r="E4" s="22">
        <v>3.6764705882352944</v>
      </c>
      <c r="F4" s="22">
        <v>2.9119318181818179</v>
      </c>
    </row>
    <row r="5" spans="2:6" x14ac:dyDescent="0.2">
      <c r="B5" s="9" t="s">
        <v>71</v>
      </c>
      <c r="C5" s="22">
        <v>0.79601990049751237</v>
      </c>
      <c r="D5" s="22">
        <v>0.38314176245210724</v>
      </c>
      <c r="E5" s="22">
        <v>1.3064133016627077</v>
      </c>
      <c r="F5" s="22">
        <v>0.46656298600311047</v>
      </c>
    </row>
    <row r="11" spans="2:6" x14ac:dyDescent="0.2">
      <c r="B11" s="17" t="s">
        <v>205</v>
      </c>
      <c r="C11" s="19">
        <f>AVERAGE(C2:C6)</f>
        <v>1.2250431395287642</v>
      </c>
      <c r="D11" s="19">
        <f>AVERAGE(D2:D6)</f>
        <v>1.9769079919308363</v>
      </c>
      <c r="E11" s="19">
        <f t="shared" ref="E11" si="0">AVERAGE(E2:E6)</f>
        <v>2.3847375326552438</v>
      </c>
      <c r="F11" s="19">
        <f>AVERAGE(F2:F6)</f>
        <v>1.8293357552293743</v>
      </c>
    </row>
    <row r="12" spans="2:6" x14ac:dyDescent="0.2">
      <c r="B12" s="18" t="s">
        <v>206</v>
      </c>
      <c r="C12" s="20">
        <f>STDEV(C2:C6)</f>
        <v>0.45240827303761438</v>
      </c>
      <c r="D12" s="20">
        <f>STDEV(D2:D6)</f>
        <v>1.7286192519933594</v>
      </c>
      <c r="E12" s="20">
        <f t="shared" ref="E12:F12" si="1">STDEV(E2:E6)</f>
        <v>0.97677026236817721</v>
      </c>
      <c r="F12" s="20">
        <f t="shared" si="1"/>
        <v>1.0122650324847662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B771BA-DCBB-054B-94B1-5254D5BE31F4}">
  <dimension ref="B1:L12"/>
  <sheetViews>
    <sheetView workbookViewId="0">
      <selection sqref="A1:XFD1048576"/>
    </sheetView>
  </sheetViews>
  <sheetFormatPr baseColWidth="10" defaultColWidth="11" defaultRowHeight="16" x14ac:dyDescent="0.2"/>
  <cols>
    <col min="1" max="1" width="11" style="9"/>
    <col min="2" max="2" width="16.83203125" style="9" customWidth="1"/>
    <col min="3" max="7" width="11" style="9"/>
    <col min="8" max="8" width="1" style="9" customWidth="1"/>
    <col min="9" max="16384" width="11" style="9"/>
  </cols>
  <sheetData>
    <row r="1" spans="2:12" x14ac:dyDescent="0.2">
      <c r="B1" s="9" t="s">
        <v>45</v>
      </c>
      <c r="I1" s="9" t="s">
        <v>72</v>
      </c>
    </row>
    <row r="2" spans="2:12" x14ac:dyDescent="0.2">
      <c r="C2" s="9" t="s">
        <v>36</v>
      </c>
      <c r="D2" s="9" t="s">
        <v>73</v>
      </c>
      <c r="E2" s="9" t="s">
        <v>37</v>
      </c>
      <c r="F2" s="9" t="s">
        <v>74</v>
      </c>
      <c r="I2" s="9" t="s">
        <v>36</v>
      </c>
      <c r="J2" s="9" t="s">
        <v>73</v>
      </c>
      <c r="K2" s="9" t="s">
        <v>37</v>
      </c>
      <c r="L2" s="9" t="s">
        <v>74</v>
      </c>
    </row>
    <row r="3" spans="2:12" x14ac:dyDescent="0.2">
      <c r="B3" s="9" t="s">
        <v>75</v>
      </c>
      <c r="C3" s="9">
        <v>1.6585671067184431</v>
      </c>
      <c r="D3" s="9">
        <v>1.2512293392375542</v>
      </c>
      <c r="E3" s="9">
        <v>0.59748468694908319</v>
      </c>
      <c r="F3" s="9">
        <v>0.57688127555188473</v>
      </c>
      <c r="I3" s="9">
        <v>0.14455602421485469</v>
      </c>
      <c r="J3" s="9">
        <v>8.4995909759097044E-2</v>
      </c>
      <c r="K3" s="9">
        <v>3.6054396354271714</v>
      </c>
      <c r="L3" s="9">
        <v>0.11019818867480057</v>
      </c>
    </row>
    <row r="4" spans="2:12" x14ac:dyDescent="0.2">
      <c r="B4" s="9" t="s">
        <v>76</v>
      </c>
      <c r="C4" s="9">
        <v>1.7029990449056336</v>
      </c>
      <c r="D4" s="9">
        <v>1.2422629771613674</v>
      </c>
      <c r="E4" s="9">
        <v>0.50985106016700688</v>
      </c>
      <c r="F4" s="9">
        <v>0.56085842514291995</v>
      </c>
      <c r="I4" s="9">
        <v>8.6535540947172626E-2</v>
      </c>
      <c r="J4" s="9">
        <v>8.3896937126714269E-2</v>
      </c>
      <c r="K4" s="9">
        <v>3.3855550995761057</v>
      </c>
      <c r="L4" s="9">
        <v>0.40527013359058789</v>
      </c>
    </row>
    <row r="5" spans="2:12" x14ac:dyDescent="0.2">
      <c r="B5" s="9" t="s">
        <v>77</v>
      </c>
      <c r="C5" s="9">
        <v>1.0724487064617156</v>
      </c>
      <c r="D5" s="9">
        <v>1.4665356707368502</v>
      </c>
      <c r="E5" s="9">
        <v>0.530028633126713</v>
      </c>
      <c r="F5" s="9">
        <v>0.97045581061564612</v>
      </c>
      <c r="I5" s="9">
        <v>0.77326172003311888</v>
      </c>
      <c r="J5" s="9">
        <v>0.48791142873186694</v>
      </c>
      <c r="K5" s="9">
        <v>1.6732700170239798</v>
      </c>
      <c r="L5" s="9">
        <v>1.0120951744845232</v>
      </c>
    </row>
    <row r="6" spans="2:12" x14ac:dyDescent="0.2">
      <c r="B6" s="9" t="s">
        <v>78</v>
      </c>
      <c r="C6" s="9">
        <v>1.422043157334141</v>
      </c>
      <c r="D6" s="9">
        <v>1.4808925984561125</v>
      </c>
      <c r="E6" s="9">
        <v>0.34125165148744696</v>
      </c>
      <c r="F6" s="9">
        <v>0.55748048667181094</v>
      </c>
      <c r="I6" s="9">
        <v>0.78019584836287448</v>
      </c>
      <c r="J6" s="9">
        <v>0.79983013588532714</v>
      </c>
      <c r="K6" s="9">
        <v>1.7040620507409845</v>
      </c>
      <c r="L6" s="9">
        <v>0.88118774701434266</v>
      </c>
    </row>
    <row r="11" spans="2:12" x14ac:dyDescent="0.2">
      <c r="B11" s="17" t="s">
        <v>205</v>
      </c>
      <c r="C11" s="19">
        <f>AVERAGE(C3:C6)</f>
        <v>1.4640145038549832</v>
      </c>
      <c r="D11" s="19">
        <f t="shared" ref="D11:F11" si="0">AVERAGE(D3:D6)</f>
        <v>1.3602301463979711</v>
      </c>
      <c r="E11" s="19">
        <f t="shared" si="0"/>
        <v>0.49465400793256253</v>
      </c>
      <c r="F11" s="19">
        <f t="shared" si="0"/>
        <v>0.66641899949556538</v>
      </c>
      <c r="I11" s="19">
        <f>AVERAGE(I3:I6)</f>
        <v>0.4461372833895052</v>
      </c>
      <c r="J11" s="19">
        <f t="shared" ref="J11:L11" si="1">AVERAGE(J3:J6)</f>
        <v>0.3641586028757513</v>
      </c>
      <c r="K11" s="19">
        <f t="shared" si="1"/>
        <v>2.5920817006920602</v>
      </c>
      <c r="L11" s="19">
        <f t="shared" si="1"/>
        <v>0.60218781094106355</v>
      </c>
    </row>
    <row r="12" spans="2:12" x14ac:dyDescent="0.2">
      <c r="B12" s="18" t="s">
        <v>206</v>
      </c>
      <c r="C12" s="20">
        <f>STDEV(C3:C6)</f>
        <v>0.2887038238744209</v>
      </c>
      <c r="D12" s="20">
        <f t="shared" ref="D12:F12" si="2">STDEV(D3:D6)</f>
        <v>0.13122210283963495</v>
      </c>
      <c r="E12" s="20">
        <f t="shared" si="2"/>
        <v>0.10891701124274367</v>
      </c>
      <c r="F12" s="20">
        <f t="shared" si="2"/>
        <v>0.20286779024691112</v>
      </c>
      <c r="I12" s="20">
        <f>STDEV(I3:I6)</f>
        <v>0.38247884078050548</v>
      </c>
      <c r="J12" s="20">
        <f t="shared" ref="J12:L12" si="3">STDEV(J3:J6)</f>
        <v>0.34718048000948837</v>
      </c>
      <c r="K12" s="20">
        <f t="shared" si="3"/>
        <v>1.0471052394373439</v>
      </c>
      <c r="L12" s="20">
        <f t="shared" si="3"/>
        <v>0.41900492084892837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05FA6-2D99-3642-8E82-B580D0C8B77B}">
  <dimension ref="A3:E19"/>
  <sheetViews>
    <sheetView workbookViewId="0">
      <selection sqref="A1:XFD1048576"/>
    </sheetView>
  </sheetViews>
  <sheetFormatPr baseColWidth="10" defaultColWidth="11" defaultRowHeight="16" x14ac:dyDescent="0.2"/>
  <cols>
    <col min="1" max="1" width="15.83203125" style="9" customWidth="1"/>
    <col min="2" max="16384" width="11" style="9"/>
  </cols>
  <sheetData>
    <row r="3" spans="1:5" x14ac:dyDescent="0.2">
      <c r="B3" s="9" t="s">
        <v>79</v>
      </c>
      <c r="C3" s="9" t="s">
        <v>80</v>
      </c>
      <c r="D3" s="9" t="s">
        <v>81</v>
      </c>
      <c r="E3" s="9" t="s">
        <v>82</v>
      </c>
    </row>
    <row r="4" spans="1:5" x14ac:dyDescent="0.2">
      <c r="A4" s="9" t="s">
        <v>68</v>
      </c>
      <c r="B4" s="22">
        <v>0.93959731543624159</v>
      </c>
      <c r="C4" s="22">
        <v>2.4285714285714284</v>
      </c>
      <c r="D4" s="22">
        <v>2.2143489813994686</v>
      </c>
      <c r="E4" s="22">
        <v>0.77922077922077926</v>
      </c>
    </row>
    <row r="5" spans="1:5" x14ac:dyDescent="0.2">
      <c r="A5" s="9" t="s">
        <v>69</v>
      </c>
      <c r="B5" s="22">
        <v>1.3663535439795047</v>
      </c>
      <c r="C5" s="22">
        <v>2.3371104815864023</v>
      </c>
      <c r="D5" s="22">
        <v>2.3417172593235036</v>
      </c>
      <c r="E5" s="22">
        <v>0.84626234132581102</v>
      </c>
    </row>
    <row r="6" spans="1:5" x14ac:dyDescent="0.2">
      <c r="A6" s="9" t="s">
        <v>42</v>
      </c>
      <c r="B6" s="22">
        <v>0.82474226804123718</v>
      </c>
      <c r="C6" s="22"/>
      <c r="D6" s="22">
        <v>1.2195121951219512</v>
      </c>
      <c r="E6" s="22"/>
    </row>
    <row r="7" spans="1:5" x14ac:dyDescent="0.2">
      <c r="A7" s="9" t="s">
        <v>83</v>
      </c>
      <c r="B7" s="22">
        <v>0.43321299638989169</v>
      </c>
      <c r="C7" s="22">
        <v>0.11881188118811881</v>
      </c>
      <c r="D7" s="22">
        <v>0.87780898876404501</v>
      </c>
      <c r="E7" s="22">
        <v>0.4838709677419355</v>
      </c>
    </row>
    <row r="8" spans="1:5" x14ac:dyDescent="0.2">
      <c r="A8" s="9" t="s">
        <v>84</v>
      </c>
      <c r="B8" s="22">
        <v>0.31662269129287596</v>
      </c>
      <c r="C8" s="22">
        <v>0.3825554705432288</v>
      </c>
      <c r="D8" s="22">
        <v>0.82735797021511304</v>
      </c>
      <c r="E8" s="22">
        <v>0.66852367688022285</v>
      </c>
    </row>
    <row r="9" spans="1:5" x14ac:dyDescent="0.2">
      <c r="A9" s="9" t="s">
        <v>85</v>
      </c>
      <c r="B9" s="22">
        <v>1.1331444759206799</v>
      </c>
      <c r="C9" s="22"/>
      <c r="D9" s="22">
        <v>2.8322440087145968</v>
      </c>
      <c r="E9" s="22"/>
    </row>
    <row r="10" spans="1:5" x14ac:dyDescent="0.2">
      <c r="A10" s="9" t="s">
        <v>86</v>
      </c>
      <c r="B10" s="22">
        <v>0.91623036649214651</v>
      </c>
      <c r="C10" s="22"/>
      <c r="D10" s="22">
        <v>2.0437956204379564</v>
      </c>
      <c r="E10" s="22"/>
    </row>
    <row r="11" spans="1:5" x14ac:dyDescent="0.2">
      <c r="A11" s="9" t="s">
        <v>87</v>
      </c>
      <c r="B11" s="22">
        <v>1.3333333333333335</v>
      </c>
      <c r="C11" s="22"/>
      <c r="D11" s="22">
        <v>2.2821576763485476</v>
      </c>
      <c r="E11" s="22"/>
    </row>
    <row r="12" spans="1:5" x14ac:dyDescent="0.2">
      <c r="A12" s="9" t="s">
        <v>88</v>
      </c>
      <c r="B12" s="22">
        <v>1.5559545182525434</v>
      </c>
      <c r="C12" s="22">
        <v>1.8630136986301369</v>
      </c>
      <c r="D12" s="22">
        <v>2.4864024864024863</v>
      </c>
      <c r="E12" s="22">
        <v>0.91324200913242004</v>
      </c>
    </row>
    <row r="13" spans="1:5" x14ac:dyDescent="0.2">
      <c r="A13" s="9" t="s">
        <v>89</v>
      </c>
      <c r="B13" s="22">
        <v>1.0596026490066226</v>
      </c>
      <c r="C13" s="22">
        <v>0.91965150048402711</v>
      </c>
      <c r="D13" s="22">
        <v>1.4543630892678034</v>
      </c>
      <c r="E13" s="22">
        <v>1.1532125205930808</v>
      </c>
    </row>
    <row r="14" spans="1:5" x14ac:dyDescent="0.2">
      <c r="A14" s="9" t="s">
        <v>70</v>
      </c>
      <c r="B14" s="22">
        <v>2.7972027972027971</v>
      </c>
      <c r="C14" s="22">
        <v>2.6825633383010432</v>
      </c>
      <c r="D14" s="22">
        <v>3.6764705882352944</v>
      </c>
      <c r="E14" s="22">
        <v>1.7381857686040194</v>
      </c>
    </row>
    <row r="15" spans="1:5" x14ac:dyDescent="0.2">
      <c r="A15" s="9" t="s">
        <v>71</v>
      </c>
      <c r="B15" s="22">
        <v>0.79601990049751237</v>
      </c>
      <c r="C15" s="22">
        <v>0.56561085972850678</v>
      </c>
      <c r="D15" s="22">
        <v>1.3064133016627077</v>
      </c>
      <c r="E15" s="22">
        <v>0.5859375</v>
      </c>
    </row>
    <row r="18" spans="1:5" x14ac:dyDescent="0.2">
      <c r="A18" s="17" t="s">
        <v>205</v>
      </c>
      <c r="B18" s="19">
        <f>AVERAGE(B4:B15)</f>
        <v>1.1226680713204489</v>
      </c>
      <c r="C18" s="19">
        <f t="shared" ref="C18:E18" si="0">AVERAGE(C4:C15)</f>
        <v>1.4122360823791118</v>
      </c>
      <c r="D18" s="19">
        <f t="shared" si="0"/>
        <v>1.9635493471577894</v>
      </c>
      <c r="E18" s="19">
        <f t="shared" si="0"/>
        <v>0.89605694543728354</v>
      </c>
    </row>
    <row r="19" spans="1:5" x14ac:dyDescent="0.2">
      <c r="A19" s="18" t="s">
        <v>206</v>
      </c>
      <c r="B19" s="20">
        <f>STDEV(B4:B15)</f>
        <v>0.63933920804911215</v>
      </c>
      <c r="C19" s="20">
        <f t="shared" ref="C19:E19" si="1">STDEV(C4:C15)</f>
        <v>1.0280261358021574</v>
      </c>
      <c r="D19" s="20">
        <f t="shared" si="1"/>
        <v>0.85229208813692803</v>
      </c>
      <c r="E19" s="20">
        <f t="shared" si="1"/>
        <v>0.39813461512733789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D57C65-D8B2-534E-A25B-A1B36A001DB6}">
  <dimension ref="A1:F13"/>
  <sheetViews>
    <sheetView workbookViewId="0">
      <selection sqref="A1:XFD1048576"/>
    </sheetView>
  </sheetViews>
  <sheetFormatPr baseColWidth="10" defaultColWidth="11" defaultRowHeight="16" x14ac:dyDescent="0.2"/>
  <cols>
    <col min="1" max="1" width="11" style="9"/>
    <col min="2" max="2" width="9" style="9" customWidth="1"/>
    <col min="3" max="16384" width="11" style="9"/>
  </cols>
  <sheetData>
    <row r="1" spans="1:6" x14ac:dyDescent="0.2">
      <c r="A1" s="9" t="s">
        <v>90</v>
      </c>
    </row>
    <row r="2" spans="1:6" ht="17" customHeight="1" x14ac:dyDescent="0.2">
      <c r="C2" s="9" t="s">
        <v>91</v>
      </c>
      <c r="D2" s="9" t="s">
        <v>81</v>
      </c>
      <c r="E2" s="9" t="s">
        <v>82</v>
      </c>
    </row>
    <row r="3" spans="1:6" ht="34" customHeight="1" x14ac:dyDescent="0.2">
      <c r="A3" s="9" t="s">
        <v>92</v>
      </c>
      <c r="B3" s="31" t="s">
        <v>93</v>
      </c>
      <c r="C3" s="22">
        <v>0.66755674232309747</v>
      </c>
      <c r="D3" s="22">
        <v>1.5718157181571817</v>
      </c>
      <c r="E3" s="22">
        <v>1.3910355486862442</v>
      </c>
    </row>
    <row r="4" spans="1:6" x14ac:dyDescent="0.2">
      <c r="A4" s="9" t="s">
        <v>92</v>
      </c>
      <c r="B4" s="9" t="s">
        <v>94</v>
      </c>
      <c r="C4" s="22">
        <v>0.42643923240938164</v>
      </c>
      <c r="D4" s="22">
        <v>1.4492753623188406</v>
      </c>
      <c r="E4" s="22">
        <v>1.056338028169014</v>
      </c>
    </row>
    <row r="5" spans="1:6" x14ac:dyDescent="0.2">
      <c r="A5" s="9" t="s">
        <v>95</v>
      </c>
      <c r="B5" s="9" t="s">
        <v>96</v>
      </c>
      <c r="C5" s="22">
        <v>0.28553299492385786</v>
      </c>
      <c r="D5" s="8">
        <v>0.56999999999999995</v>
      </c>
      <c r="E5" s="22">
        <v>0.25784271594327457</v>
      </c>
    </row>
    <row r="6" spans="1:6" x14ac:dyDescent="0.2">
      <c r="A6" s="9" t="s">
        <v>95</v>
      </c>
      <c r="B6" s="9" t="s">
        <v>97</v>
      </c>
      <c r="C6" s="22">
        <v>0.13224014810896587</v>
      </c>
      <c r="D6" s="22">
        <v>0.72267389340560073</v>
      </c>
      <c r="E6" s="22">
        <v>0.20073603211776514</v>
      </c>
    </row>
    <row r="12" spans="1:6" x14ac:dyDescent="0.2">
      <c r="B12" s="17" t="s">
        <v>205</v>
      </c>
      <c r="C12" s="19">
        <f>AVERAGE(C3:C7)</f>
        <v>0.37794227944132575</v>
      </c>
      <c r="D12" s="19">
        <f t="shared" ref="D12:E12" si="0">AVERAGE(D3:D7)</f>
        <v>1.0784412434704058</v>
      </c>
      <c r="E12" s="19">
        <f t="shared" si="0"/>
        <v>0.7264880812290746</v>
      </c>
      <c r="F12" s="19"/>
    </row>
    <row r="13" spans="1:6" x14ac:dyDescent="0.2">
      <c r="B13" s="18" t="s">
        <v>206</v>
      </c>
      <c r="C13" s="20">
        <f>STDEV(C3:C7)</f>
        <v>0.22740382931675923</v>
      </c>
      <c r="D13" s="20">
        <f t="shared" ref="D13:E13" si="1">STDEV(D3:D7)</f>
        <v>0.50531152813830649</v>
      </c>
      <c r="E13" s="20">
        <f t="shared" si="1"/>
        <v>0.59061211736881369</v>
      </c>
      <c r="F13" s="20"/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DCDD02-AB41-824A-8B45-BC8C8E034B47}">
  <dimension ref="A1:AB12"/>
  <sheetViews>
    <sheetView workbookViewId="0">
      <selection sqref="A1:XFD1048576"/>
    </sheetView>
  </sheetViews>
  <sheetFormatPr baseColWidth="10" defaultColWidth="11" defaultRowHeight="16" x14ac:dyDescent="0.2"/>
  <cols>
    <col min="1" max="1" width="11" style="9"/>
    <col min="2" max="2" width="9.83203125" style="9" customWidth="1"/>
    <col min="3" max="3" width="8.6640625" style="9" customWidth="1"/>
    <col min="4" max="4" width="10" style="9" customWidth="1"/>
    <col min="5" max="5" width="1.33203125" style="9" customWidth="1"/>
    <col min="6" max="7" width="9" style="9" customWidth="1"/>
    <col min="8" max="8" width="9.5" style="9" customWidth="1"/>
    <col min="9" max="9" width="1.1640625" style="9" customWidth="1"/>
    <col min="10" max="10" width="9.33203125" style="9" customWidth="1"/>
    <col min="11" max="11" width="8.5" style="9" customWidth="1"/>
    <col min="12" max="12" width="9.6640625" style="9" customWidth="1"/>
    <col min="13" max="13" width="1.1640625" style="9" customWidth="1"/>
    <col min="14" max="14" width="9.33203125" style="9" customWidth="1"/>
    <col min="15" max="15" width="8.6640625" style="9" customWidth="1"/>
    <col min="16" max="16" width="9.6640625" style="9" customWidth="1"/>
    <col min="17" max="17" width="0.83203125" style="9" customWidth="1"/>
    <col min="18" max="18" width="9.1640625" style="9" customWidth="1"/>
    <col min="19" max="19" width="8.5" style="9" customWidth="1"/>
    <col min="20" max="20" width="9.33203125" style="9" customWidth="1"/>
    <col min="21" max="21" width="1" style="9" customWidth="1"/>
    <col min="22" max="22" width="9" style="9" customWidth="1"/>
    <col min="23" max="23" width="8.6640625" style="9" customWidth="1"/>
    <col min="24" max="24" width="9.6640625" style="9" customWidth="1"/>
    <col min="25" max="25" width="1.1640625" style="9" customWidth="1"/>
    <col min="26" max="26" width="9.33203125" style="9" customWidth="1"/>
    <col min="27" max="27" width="8.6640625" style="9" customWidth="1"/>
    <col min="28" max="28" width="9.6640625" style="9" customWidth="1"/>
    <col min="29" max="29" width="1.1640625" style="9" customWidth="1"/>
    <col min="30" max="16384" width="11" style="9"/>
  </cols>
  <sheetData>
    <row r="1" spans="1:28" x14ac:dyDescent="0.2">
      <c r="B1" s="9" t="s">
        <v>45</v>
      </c>
      <c r="F1" s="9" t="s">
        <v>98</v>
      </c>
      <c r="J1" s="9" t="s">
        <v>99</v>
      </c>
      <c r="N1" s="9" t="s">
        <v>100</v>
      </c>
      <c r="R1" s="9" t="s">
        <v>101</v>
      </c>
      <c r="V1" s="9" t="s">
        <v>102</v>
      </c>
      <c r="Z1" s="9" t="s">
        <v>103</v>
      </c>
    </row>
    <row r="2" spans="1:28" s="31" customFormat="1" ht="34" x14ac:dyDescent="0.2">
      <c r="A2" s="31" t="s">
        <v>16</v>
      </c>
      <c r="B2" s="36" t="s">
        <v>104</v>
      </c>
      <c r="C2" s="36" t="s">
        <v>41</v>
      </c>
      <c r="D2" s="36" t="s">
        <v>105</v>
      </c>
      <c r="F2" s="36" t="s">
        <v>104</v>
      </c>
      <c r="G2" s="36" t="s">
        <v>41</v>
      </c>
      <c r="H2" s="36" t="s">
        <v>105</v>
      </c>
      <c r="J2" s="36" t="s">
        <v>104</v>
      </c>
      <c r="K2" s="36" t="s">
        <v>41</v>
      </c>
      <c r="L2" s="36" t="s">
        <v>105</v>
      </c>
      <c r="N2" s="36" t="s">
        <v>104</v>
      </c>
      <c r="O2" s="36" t="s">
        <v>41</v>
      </c>
      <c r="P2" s="36" t="s">
        <v>105</v>
      </c>
      <c r="R2" s="36" t="s">
        <v>104</v>
      </c>
      <c r="S2" s="36" t="s">
        <v>41</v>
      </c>
      <c r="T2" s="36" t="s">
        <v>105</v>
      </c>
      <c r="V2" s="36" t="s">
        <v>104</v>
      </c>
      <c r="W2" s="36" t="s">
        <v>41</v>
      </c>
      <c r="X2" s="36" t="s">
        <v>105</v>
      </c>
      <c r="Z2" s="36" t="s">
        <v>104</v>
      </c>
      <c r="AA2" s="36" t="s">
        <v>41</v>
      </c>
      <c r="AB2" s="36" t="s">
        <v>105</v>
      </c>
    </row>
    <row r="3" spans="1:28" x14ac:dyDescent="0.2">
      <c r="A3" s="9" t="s">
        <v>71</v>
      </c>
      <c r="B3" s="22">
        <v>3.6165902465420241</v>
      </c>
      <c r="C3" s="22">
        <v>0.5596280255149918</v>
      </c>
      <c r="D3" s="22">
        <v>0.49408450928567887</v>
      </c>
      <c r="F3" s="22">
        <v>1.1733207825792324</v>
      </c>
      <c r="G3" s="22">
        <v>1.3725481182974963</v>
      </c>
      <c r="H3" s="22">
        <v>0.62094860827438791</v>
      </c>
      <c r="J3" s="22">
        <v>1.6028272269656139</v>
      </c>
      <c r="K3" s="22">
        <v>2.2763921987184164</v>
      </c>
      <c r="L3" s="22">
        <v>0.27407296635591277</v>
      </c>
      <c r="N3" s="22">
        <v>1.1377928901024132</v>
      </c>
      <c r="O3" s="22">
        <v>1.7241821510386708</v>
      </c>
      <c r="P3" s="22">
        <v>0.50974578046440577</v>
      </c>
      <c r="R3" s="22">
        <v>1.2545990026662526</v>
      </c>
      <c r="S3" s="22">
        <v>1.7887168670800375</v>
      </c>
      <c r="T3" s="22">
        <v>0.44560849315441542</v>
      </c>
      <c r="V3" s="22">
        <v>0.63346475188953255</v>
      </c>
      <c r="W3" s="22">
        <v>2.0206241919144237</v>
      </c>
      <c r="X3" s="22">
        <v>0.78125353859448377</v>
      </c>
      <c r="Z3" s="22">
        <v>1.4004548523232723</v>
      </c>
      <c r="AA3" s="22">
        <v>1.4905838229417228</v>
      </c>
      <c r="AB3" s="22">
        <v>0.47904298380053956</v>
      </c>
    </row>
    <row r="4" spans="1:28" x14ac:dyDescent="0.2">
      <c r="A4" s="9" t="s">
        <v>70</v>
      </c>
      <c r="B4" s="22">
        <v>7.48539023399369</v>
      </c>
      <c r="C4" s="22">
        <v>0.42763086897484681</v>
      </c>
      <c r="D4" s="22">
        <v>0.31240394258453474</v>
      </c>
      <c r="F4" s="22">
        <v>1.4397761985896314</v>
      </c>
      <c r="G4" s="22">
        <v>0.97998390744267272</v>
      </c>
      <c r="H4" s="22">
        <v>0.70873856689594261</v>
      </c>
      <c r="J4" s="22">
        <v>1.0895522836918716</v>
      </c>
      <c r="K4" s="22">
        <v>0.73110573300467763</v>
      </c>
      <c r="L4" s="22">
        <v>1.2553699689858515</v>
      </c>
      <c r="N4" s="22">
        <v>1.5536971437248293</v>
      </c>
      <c r="O4" s="22">
        <v>1.2579636992676999</v>
      </c>
      <c r="P4" s="22">
        <v>0.51164121747581304</v>
      </c>
      <c r="R4" s="22">
        <v>2.0226336480297822</v>
      </c>
      <c r="S4" s="22">
        <v>1.64331726846432</v>
      </c>
      <c r="T4" s="22">
        <v>0.76852422733687131</v>
      </c>
      <c r="V4" s="22">
        <v>1.9430351967712183</v>
      </c>
      <c r="W4" s="22">
        <v>0.94772534144191001</v>
      </c>
      <c r="X4" s="22">
        <v>0.79456319418491161</v>
      </c>
      <c r="Z4" s="22">
        <v>2.2227597408090798</v>
      </c>
      <c r="AA4" s="22">
        <v>0.55432660677657919</v>
      </c>
      <c r="AB4" s="22">
        <v>0.81159946736875044</v>
      </c>
    </row>
    <row r="5" spans="1:28" x14ac:dyDescent="0.2">
      <c r="A5" s="9" t="s">
        <v>106</v>
      </c>
      <c r="B5" s="22">
        <v>4.895528066953891</v>
      </c>
      <c r="C5" s="22">
        <v>3.1500967594230693</v>
      </c>
      <c r="D5" s="22">
        <v>6.4845009956364399E-2</v>
      </c>
      <c r="F5" s="22">
        <v>0.56582332820939252</v>
      </c>
      <c r="G5" s="22">
        <v>1.3621101537414726</v>
      </c>
      <c r="H5" s="22">
        <v>1.000974986681</v>
      </c>
      <c r="J5" s="22">
        <v>0.86839497101791485</v>
      </c>
      <c r="K5" s="22">
        <v>1.404170185945697</v>
      </c>
      <c r="L5" s="22">
        <v>0.8200927123820887</v>
      </c>
      <c r="N5" s="22">
        <v>0.67352298223817553</v>
      </c>
      <c r="O5" s="22">
        <v>1.7709903496796793</v>
      </c>
      <c r="P5" s="22">
        <v>0.83836161543289556</v>
      </c>
      <c r="R5" s="22">
        <v>0.50877042745858181</v>
      </c>
      <c r="S5" s="22">
        <v>2.1107312442061543</v>
      </c>
      <c r="T5" s="22">
        <v>0.93120479019729796</v>
      </c>
      <c r="V5" s="22">
        <v>0.38911128791359001</v>
      </c>
      <c r="W5" s="22">
        <v>1.968565633050871</v>
      </c>
      <c r="X5" s="22">
        <v>1.3054981820115135</v>
      </c>
      <c r="Z5" s="22">
        <v>0.31839179119331712</v>
      </c>
      <c r="AA5" s="22">
        <v>2.3588315491709073</v>
      </c>
      <c r="AB5" s="22">
        <v>1.3315001203037085</v>
      </c>
    </row>
    <row r="6" spans="1:28" x14ac:dyDescent="0.2">
      <c r="A6" s="9" t="s">
        <v>107</v>
      </c>
      <c r="B6" s="22">
        <v>6.4474399233186528</v>
      </c>
      <c r="C6" s="22">
        <v>0.36168757248300465</v>
      </c>
      <c r="D6" s="22">
        <v>0.42882402529381486</v>
      </c>
      <c r="F6" s="22">
        <v>0.66318345578973281</v>
      </c>
      <c r="G6" s="22">
        <v>1.2028814236504599</v>
      </c>
      <c r="H6" s="22">
        <v>1.2535553030864246</v>
      </c>
      <c r="J6" s="22">
        <v>0.80432800938191606</v>
      </c>
      <c r="K6" s="22">
        <v>1.1632457054790617</v>
      </c>
      <c r="L6" s="22">
        <v>1.0687973038770522</v>
      </c>
      <c r="N6" s="22">
        <v>0.5561970838459992</v>
      </c>
      <c r="O6" s="22">
        <v>1.5736236699510868</v>
      </c>
      <c r="P6" s="22">
        <v>1.1425373678039896</v>
      </c>
      <c r="R6" s="22">
        <v>0.90278907254016727</v>
      </c>
      <c r="S6" s="22">
        <v>1.1995958585882169</v>
      </c>
      <c r="T6" s="22">
        <v>0.92337635334648849</v>
      </c>
      <c r="V6" s="22">
        <v>0.55421473470923255</v>
      </c>
      <c r="W6" s="22">
        <v>1.5473547341626217</v>
      </c>
      <c r="X6" s="22">
        <v>1.1660899274381953</v>
      </c>
      <c r="Z6" s="22">
        <v>0.92804351990235812</v>
      </c>
      <c r="AA6" s="22">
        <v>1.1389783513798606</v>
      </c>
      <c r="AB6" s="22">
        <v>0.9460545698669508</v>
      </c>
    </row>
    <row r="7" spans="1:28" x14ac:dyDescent="0.2">
      <c r="A7" s="9" t="s">
        <v>108</v>
      </c>
      <c r="B7" s="22">
        <v>4.2510251740327627</v>
      </c>
      <c r="C7" s="22">
        <v>0.23523737429466773</v>
      </c>
      <c r="D7" s="22">
        <v>0.64490813154664428</v>
      </c>
      <c r="F7" s="22">
        <v>0.8519998013784672</v>
      </c>
      <c r="G7" s="22">
        <v>1.1737091938074169</v>
      </c>
      <c r="H7" s="22">
        <v>0.57843223564366852</v>
      </c>
      <c r="J7" s="22">
        <v>0.89805773621906082</v>
      </c>
      <c r="K7" s="22">
        <v>1.1135141535667037</v>
      </c>
      <c r="L7" s="22">
        <v>1.0264575395841435</v>
      </c>
      <c r="N7" s="22">
        <v>0.92982908579558665</v>
      </c>
      <c r="O7" s="22">
        <v>1.0754664650486554</v>
      </c>
      <c r="P7" s="22">
        <v>0.35858088358136841</v>
      </c>
      <c r="R7" s="22">
        <v>0.91114839380181301</v>
      </c>
      <c r="S7" s="22">
        <v>1.0975160652234146</v>
      </c>
      <c r="T7" s="22">
        <v>0.74870088096294918</v>
      </c>
      <c r="V7" s="22">
        <v>0.65153212752819634</v>
      </c>
      <c r="W7" s="22">
        <v>1.5348437287257535</v>
      </c>
      <c r="X7" s="22">
        <v>1.104602222727975</v>
      </c>
      <c r="Z7" s="22">
        <v>0.86367069145808295</v>
      </c>
      <c r="AA7" s="22">
        <v>1.1578487146666521</v>
      </c>
      <c r="AB7" s="22">
        <v>0.91205621446179541</v>
      </c>
    </row>
    <row r="11" spans="1:28" x14ac:dyDescent="0.2">
      <c r="A11" s="17" t="s">
        <v>205</v>
      </c>
      <c r="B11" s="19">
        <f>AVERAGE(B3:B7)</f>
        <v>5.339194728968204</v>
      </c>
      <c r="C11" s="19">
        <f t="shared" ref="C11:D11" si="0">AVERAGE(C3:C7)</f>
        <v>0.94685612013811615</v>
      </c>
      <c r="D11" s="19">
        <f t="shared" si="0"/>
        <v>0.38901312373340746</v>
      </c>
      <c r="F11" s="19">
        <f>AVERAGE(F3:F7)</f>
        <v>0.93882071330929118</v>
      </c>
      <c r="G11" s="19">
        <f t="shared" ref="G11:H11" si="1">AVERAGE(G3:G7)</f>
        <v>1.2182465593879037</v>
      </c>
      <c r="H11" s="19">
        <f t="shared" si="1"/>
        <v>0.83252994011628478</v>
      </c>
      <c r="J11" s="19">
        <f>AVERAGE(J3:J7)</f>
        <v>1.0526320454552753</v>
      </c>
      <c r="K11" s="19">
        <f t="shared" ref="K11:L11" si="2">AVERAGE(K3:K7)</f>
        <v>1.3376855953429112</v>
      </c>
      <c r="L11" s="19">
        <f t="shared" si="2"/>
        <v>0.88895809823700966</v>
      </c>
      <c r="N11" s="19">
        <f>AVERAGE(N3:N7)</f>
        <v>0.97020783714140069</v>
      </c>
      <c r="O11" s="19">
        <f t="shared" ref="O11:P11" si="3">AVERAGE(O3:O7)</f>
        <v>1.4804452669971586</v>
      </c>
      <c r="P11" s="19">
        <f t="shared" si="3"/>
        <v>0.67217337295169444</v>
      </c>
      <c r="R11" s="19">
        <f>AVERAGE(R3:R7)</f>
        <v>1.1199881088993193</v>
      </c>
      <c r="S11" s="19">
        <f t="shared" ref="S11:T11" si="4">AVERAGE(S3:S7)</f>
        <v>1.5679754607124288</v>
      </c>
      <c r="T11" s="19">
        <f t="shared" si="4"/>
        <v>0.76348294899960456</v>
      </c>
      <c r="V11" s="19">
        <f>AVERAGE(V3:V7)</f>
        <v>0.83427161976235398</v>
      </c>
      <c r="W11" s="19">
        <f t="shared" ref="W11:X11" si="5">AVERAGE(W3:W7)</f>
        <v>1.603822725859116</v>
      </c>
      <c r="X11" s="19">
        <f t="shared" si="5"/>
        <v>1.0304014129914159</v>
      </c>
      <c r="Z11" s="19">
        <f>AVERAGE(Z3:Z7)</f>
        <v>1.146664119137222</v>
      </c>
      <c r="AA11" s="19">
        <f t="shared" ref="AA11:AB11" si="6">AVERAGE(AA3:AA7)</f>
        <v>1.3401138089871445</v>
      </c>
      <c r="AB11" s="19">
        <f t="shared" si="6"/>
        <v>0.89605067116034898</v>
      </c>
    </row>
    <row r="12" spans="1:28" x14ac:dyDescent="0.2">
      <c r="A12" s="18" t="s">
        <v>206</v>
      </c>
      <c r="B12" s="20">
        <f>STDEV(B3:B7)</f>
        <v>1.5955157353296885</v>
      </c>
      <c r="C12" s="20">
        <f t="shared" ref="C12:D12" si="7">STDEV(C3:C7)</f>
        <v>1.2371977653055692</v>
      </c>
      <c r="D12" s="20">
        <f t="shared" si="7"/>
        <v>0.21740577935897296</v>
      </c>
      <c r="F12" s="20">
        <f>STDEV(F3:F7)</f>
        <v>0.36352011584396349</v>
      </c>
      <c r="G12" s="20">
        <f t="shared" ref="G12:H12" si="8">STDEV(G3:G7)</f>
        <v>0.16085277469110718</v>
      </c>
      <c r="H12" s="20">
        <f t="shared" si="8"/>
        <v>0.28735548431444125</v>
      </c>
      <c r="J12" s="20">
        <f>STDEV(J3:J7)</f>
        <v>0.32541099119116063</v>
      </c>
      <c r="K12" s="20">
        <f t="shared" ref="K12:L12" si="9">STDEV(K3:K7)</f>
        <v>0.57754037259017721</v>
      </c>
      <c r="L12" s="20">
        <f t="shared" si="9"/>
        <v>0.37693900768528288</v>
      </c>
      <c r="N12" s="20">
        <f>STDEV(N3:N7)</f>
        <v>0.39673724661499077</v>
      </c>
      <c r="O12" s="20">
        <f t="shared" ref="O12:P12" si="10">STDEV(O3:O7)</f>
        <v>0.30249471338244249</v>
      </c>
      <c r="P12" s="20">
        <f t="shared" si="10"/>
        <v>0.31597245319996975</v>
      </c>
      <c r="R12" s="20">
        <f>STDEV(R3:R7)</f>
        <v>0.56948783220890675</v>
      </c>
      <c r="S12" s="20">
        <f t="shared" ref="S12:T12" si="11">STDEV(S3:S7)</f>
        <v>0.42012574637286892</v>
      </c>
      <c r="T12" s="20">
        <f t="shared" si="11"/>
        <v>0.19684042424637338</v>
      </c>
      <c r="V12" s="20">
        <f>STDEV(V3:V7)</f>
        <v>0.62842528788745866</v>
      </c>
      <c r="W12" s="20">
        <f t="shared" ref="W12:X12" si="12">STDEV(W3:W7)</f>
        <v>0.43161654405948235</v>
      </c>
      <c r="X12" s="20">
        <f t="shared" si="12"/>
        <v>0.23307171332551599</v>
      </c>
      <c r="Z12" s="20">
        <f>STDEV(Z3:Z7)</f>
        <v>0.71349611403802826</v>
      </c>
      <c r="AA12" s="20">
        <f t="shared" ref="AA12:AB12" si="13">STDEV(AA3:AA7)</f>
        <v>0.66173344772216602</v>
      </c>
      <c r="AB12" s="20">
        <f t="shared" si="13"/>
        <v>0.30553240711932528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92CCBF-F396-B747-8624-C721475F29CF}">
  <dimension ref="A1:T18"/>
  <sheetViews>
    <sheetView workbookViewId="0">
      <selection activeCell="C15" sqref="C15"/>
    </sheetView>
  </sheetViews>
  <sheetFormatPr baseColWidth="10" defaultColWidth="11" defaultRowHeight="16" x14ac:dyDescent="0.2"/>
  <cols>
    <col min="1" max="7" width="11" style="9"/>
    <col min="8" max="8" width="1.1640625" style="9" customWidth="1"/>
    <col min="9" max="14" width="11" style="9"/>
    <col min="15" max="15" width="0.83203125" style="9" customWidth="1"/>
    <col min="16" max="16384" width="11" style="9"/>
  </cols>
  <sheetData>
    <row r="1" spans="2:20" x14ac:dyDescent="0.2">
      <c r="B1" s="5" t="s">
        <v>0</v>
      </c>
      <c r="C1" s="5"/>
      <c r="D1" s="5"/>
      <c r="E1" s="5"/>
      <c r="F1" s="5"/>
      <c r="I1" s="5" t="s">
        <v>8</v>
      </c>
      <c r="J1" s="5"/>
      <c r="K1" s="5"/>
      <c r="L1" s="5"/>
      <c r="M1" s="5"/>
      <c r="P1" s="5" t="s">
        <v>9</v>
      </c>
      <c r="Q1" s="5"/>
      <c r="R1" s="5"/>
      <c r="S1" s="5"/>
      <c r="T1" s="5"/>
    </row>
    <row r="2" spans="2:20" x14ac:dyDescent="0.2"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I2" s="5" t="s">
        <v>1</v>
      </c>
      <c r="J2" s="5" t="s">
        <v>2</v>
      </c>
      <c r="K2" s="5" t="s">
        <v>3</v>
      </c>
      <c r="L2" s="5" t="s">
        <v>4</v>
      </c>
      <c r="M2" s="5" t="s">
        <v>5</v>
      </c>
      <c r="P2" s="5" t="s">
        <v>1</v>
      </c>
      <c r="Q2" s="5" t="s">
        <v>2</v>
      </c>
      <c r="R2" s="5" t="s">
        <v>3</v>
      </c>
      <c r="S2" s="5" t="s">
        <v>4</v>
      </c>
      <c r="T2" s="5" t="s">
        <v>5</v>
      </c>
    </row>
    <row r="3" spans="2:20" x14ac:dyDescent="0.2">
      <c r="B3" s="8">
        <v>0.62</v>
      </c>
      <c r="C3" s="8">
        <v>0.18</v>
      </c>
      <c r="D3" s="8">
        <v>0.45</v>
      </c>
      <c r="E3" s="8">
        <v>0.49</v>
      </c>
      <c r="F3" s="8">
        <v>0.28999999999999998</v>
      </c>
      <c r="I3" s="15">
        <v>0.16</v>
      </c>
      <c r="J3" s="15">
        <v>0.21</v>
      </c>
      <c r="K3" s="15">
        <v>0.44</v>
      </c>
      <c r="L3" s="15">
        <v>0.5</v>
      </c>
      <c r="M3" s="15">
        <v>0.42</v>
      </c>
      <c r="P3" s="8">
        <v>1.07</v>
      </c>
      <c r="Q3" s="15">
        <v>0.28999999999999998</v>
      </c>
      <c r="R3" s="8">
        <v>0.81</v>
      </c>
      <c r="S3" s="15">
        <v>0.5</v>
      </c>
      <c r="T3" s="15">
        <v>0.23</v>
      </c>
    </row>
    <row r="4" spans="2:20" x14ac:dyDescent="0.2">
      <c r="B4" s="8">
        <v>1.22</v>
      </c>
      <c r="C4" s="8">
        <v>0.17</v>
      </c>
      <c r="D4" s="8">
        <v>0.56999999999999995</v>
      </c>
      <c r="E4" s="8">
        <v>0.33</v>
      </c>
      <c r="F4" s="8">
        <v>0.19</v>
      </c>
      <c r="I4" s="15">
        <v>0.26</v>
      </c>
      <c r="J4" s="15">
        <v>0.37</v>
      </c>
      <c r="K4" s="15">
        <v>0.48</v>
      </c>
      <c r="L4" s="15">
        <v>0.18</v>
      </c>
      <c r="M4" s="15">
        <v>0.22</v>
      </c>
      <c r="P4" s="8">
        <v>0.15</v>
      </c>
      <c r="Q4" s="15">
        <v>0.86</v>
      </c>
      <c r="R4" s="8">
        <v>1.22</v>
      </c>
      <c r="S4" s="15">
        <v>0.7</v>
      </c>
      <c r="T4" s="15">
        <v>0.17</v>
      </c>
    </row>
    <row r="5" spans="2:20" x14ac:dyDescent="0.2">
      <c r="B5" s="8">
        <v>0.51</v>
      </c>
      <c r="C5" s="8">
        <v>0.73</v>
      </c>
      <c r="D5" s="8">
        <v>0.42</v>
      </c>
      <c r="E5" s="8">
        <v>0.59</v>
      </c>
      <c r="F5" s="8">
        <v>0.15</v>
      </c>
      <c r="I5" s="15">
        <v>0.7</v>
      </c>
      <c r="J5" s="15">
        <v>0.6</v>
      </c>
      <c r="K5" s="15">
        <v>0.5</v>
      </c>
      <c r="L5" s="15">
        <v>0.28000000000000003</v>
      </c>
      <c r="M5" s="15">
        <v>0.36</v>
      </c>
      <c r="P5" s="8">
        <v>0.96</v>
      </c>
      <c r="Q5" s="15">
        <v>0.23</v>
      </c>
      <c r="R5" s="8">
        <v>1.29</v>
      </c>
      <c r="S5" s="15">
        <v>0.49</v>
      </c>
      <c r="T5" s="15">
        <v>0.21</v>
      </c>
    </row>
    <row r="6" spans="2:20" x14ac:dyDescent="0.2">
      <c r="B6" s="8">
        <v>0.47</v>
      </c>
      <c r="C6" s="8">
        <v>0.52</v>
      </c>
      <c r="D6" s="8">
        <v>0.14000000000000001</v>
      </c>
      <c r="E6" s="8">
        <v>0.21</v>
      </c>
      <c r="F6" s="8">
        <v>0.37</v>
      </c>
      <c r="I6" s="15">
        <v>0.36</v>
      </c>
      <c r="J6" s="15">
        <v>0.22</v>
      </c>
      <c r="K6" s="15">
        <v>0.42</v>
      </c>
      <c r="L6" s="15">
        <v>0.44</v>
      </c>
      <c r="M6" s="15">
        <v>0</v>
      </c>
      <c r="P6" s="8">
        <v>0.22</v>
      </c>
      <c r="Q6" s="15">
        <v>1.64</v>
      </c>
      <c r="R6" s="8">
        <v>0.49</v>
      </c>
      <c r="S6" s="15">
        <v>0.44</v>
      </c>
      <c r="T6" s="15">
        <v>0.1</v>
      </c>
    </row>
    <row r="7" spans="2:20" x14ac:dyDescent="0.2">
      <c r="B7" s="8">
        <v>0.6</v>
      </c>
      <c r="C7" s="8">
        <v>0.63</v>
      </c>
      <c r="E7" s="8">
        <v>0.22</v>
      </c>
      <c r="F7" s="8">
        <v>0.28000000000000003</v>
      </c>
      <c r="I7" s="15">
        <v>0.64</v>
      </c>
      <c r="K7" s="15">
        <v>0.7</v>
      </c>
      <c r="L7" s="15">
        <v>0.44</v>
      </c>
      <c r="M7" s="15">
        <v>0.19</v>
      </c>
      <c r="P7" s="8">
        <v>2.23</v>
      </c>
      <c r="Q7" s="15">
        <v>1.33</v>
      </c>
      <c r="R7" s="8">
        <v>0.56999999999999995</v>
      </c>
      <c r="S7" s="15">
        <v>0.47</v>
      </c>
      <c r="T7" s="15">
        <v>0.7</v>
      </c>
    </row>
    <row r="8" spans="2:20" x14ac:dyDescent="0.2">
      <c r="B8" s="8">
        <v>0.55000000000000004</v>
      </c>
      <c r="C8" s="8">
        <v>0.63</v>
      </c>
      <c r="E8" s="8"/>
      <c r="F8" s="8"/>
      <c r="I8" s="15">
        <v>0.7</v>
      </c>
      <c r="K8" s="15">
        <v>0.44</v>
      </c>
      <c r="L8" s="15">
        <v>0.42</v>
      </c>
      <c r="M8" s="15">
        <v>0.3</v>
      </c>
      <c r="P8" s="8">
        <v>0.82</v>
      </c>
      <c r="Q8" s="15">
        <v>0.160186</v>
      </c>
      <c r="R8" s="8">
        <v>0.91</v>
      </c>
      <c r="S8" s="15">
        <v>1.3</v>
      </c>
      <c r="T8" s="15">
        <v>0.05</v>
      </c>
    </row>
    <row r="9" spans="2:20" x14ac:dyDescent="0.2">
      <c r="B9" s="8">
        <v>0.27</v>
      </c>
      <c r="P9" s="8">
        <v>0.98</v>
      </c>
      <c r="Q9" s="15">
        <v>0.43</v>
      </c>
      <c r="T9" s="15">
        <v>0.36</v>
      </c>
    </row>
    <row r="10" spans="2:20" x14ac:dyDescent="0.2">
      <c r="P10" s="8">
        <v>0.67</v>
      </c>
      <c r="T10" s="15">
        <v>0.5</v>
      </c>
    </row>
    <row r="11" spans="2:20" x14ac:dyDescent="0.2">
      <c r="T11" s="15">
        <v>0.17</v>
      </c>
    </row>
    <row r="12" spans="2:20" x14ac:dyDescent="0.2">
      <c r="T12" s="15">
        <v>0.209089</v>
      </c>
    </row>
    <row r="13" spans="2:20" x14ac:dyDescent="0.2">
      <c r="T13" s="15">
        <v>0.12531300000000001</v>
      </c>
    </row>
    <row r="17" spans="1:20" x14ac:dyDescent="0.2">
      <c r="A17" s="17" t="s">
        <v>205</v>
      </c>
      <c r="B17" s="19">
        <f>AVERAGE(B3:B15)</f>
        <v>0.60571428571428576</v>
      </c>
      <c r="C17" s="19">
        <f t="shared" ref="C17:F17" si="0">AVERAGE(C3:C15)</f>
        <v>0.47666666666666663</v>
      </c>
      <c r="D17" s="19">
        <f t="shared" si="0"/>
        <v>0.39500000000000002</v>
      </c>
      <c r="E17" s="19">
        <f t="shared" si="0"/>
        <v>0.36799999999999999</v>
      </c>
      <c r="F17" s="19">
        <f t="shared" si="0"/>
        <v>0.25600000000000001</v>
      </c>
      <c r="I17" s="19">
        <f>AVERAGE(I3:I15)</f>
        <v>0.47000000000000003</v>
      </c>
      <c r="J17" s="19">
        <f t="shared" ref="J17:M17" si="1">AVERAGE(J3:J15)</f>
        <v>0.35</v>
      </c>
      <c r="K17" s="19">
        <f t="shared" si="1"/>
        <v>0.49666666666666665</v>
      </c>
      <c r="L17" s="19">
        <f t="shared" si="1"/>
        <v>0.37666666666666665</v>
      </c>
      <c r="M17" s="19">
        <f t="shared" si="1"/>
        <v>0.24833333333333332</v>
      </c>
      <c r="P17" s="19">
        <f>AVERAGE(P3:P15)</f>
        <v>0.88749999999999996</v>
      </c>
      <c r="Q17" s="19">
        <f t="shared" ref="Q17:T17" si="2">AVERAGE(Q3:Q15)</f>
        <v>0.70574085714285706</v>
      </c>
      <c r="R17" s="19">
        <f t="shared" si="2"/>
        <v>0.88166666666666682</v>
      </c>
      <c r="S17" s="19">
        <f t="shared" si="2"/>
        <v>0.64999999999999991</v>
      </c>
      <c r="T17" s="19">
        <f t="shared" si="2"/>
        <v>0.2567638181818182</v>
      </c>
    </row>
    <row r="18" spans="1:20" x14ac:dyDescent="0.2">
      <c r="A18" s="18" t="s">
        <v>206</v>
      </c>
      <c r="B18" s="20">
        <f>STDEV(B3:B15)</f>
        <v>0.29466688213739156</v>
      </c>
      <c r="C18" s="20">
        <f t="shared" ref="C18:F18" si="3">STDEV(C3:C15)</f>
        <v>0.24295404229332498</v>
      </c>
      <c r="D18" s="20">
        <f t="shared" si="3"/>
        <v>0.18193405398660237</v>
      </c>
      <c r="E18" s="20">
        <f t="shared" si="3"/>
        <v>0.16769019053003661</v>
      </c>
      <c r="F18" s="20">
        <f t="shared" si="3"/>
        <v>8.7063195438715602E-2</v>
      </c>
      <c r="I18" s="20">
        <f>STDEV(I3:I15)</f>
        <v>0.23958297101421858</v>
      </c>
      <c r="J18" s="20">
        <f t="shared" ref="J18:M18" si="4">STDEV(J3:J15)</f>
        <v>0.1820256392196806</v>
      </c>
      <c r="K18" s="20">
        <f t="shared" si="4"/>
        <v>0.10385887861259929</v>
      </c>
      <c r="L18" s="20">
        <f t="shared" si="4"/>
        <v>0.12094075684675824</v>
      </c>
      <c r="M18" s="20">
        <f t="shared" si="4"/>
        <v>0.14864947583717425</v>
      </c>
      <c r="P18" s="20">
        <f>STDEV(P3:P15)</f>
        <v>0.6426229732232468</v>
      </c>
      <c r="Q18" s="20">
        <f t="shared" ref="Q18:T18" si="5">STDEV(Q3:Q15)</f>
        <v>0.58582825306154607</v>
      </c>
      <c r="R18" s="20">
        <f t="shared" si="5"/>
        <v>0.32792783759032473</v>
      </c>
      <c r="S18" s="20">
        <f t="shared" si="5"/>
        <v>0.33154185256163382</v>
      </c>
      <c r="T18" s="20">
        <f t="shared" si="5"/>
        <v>0.19264405422686581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F0EC74-F822-AF43-A2F4-A4D258B35309}">
  <dimension ref="A1:F13"/>
  <sheetViews>
    <sheetView topLeftCell="A2" workbookViewId="0">
      <selection activeCell="A2" sqref="A1:XFD1048576"/>
    </sheetView>
  </sheetViews>
  <sheetFormatPr baseColWidth="10" defaultColWidth="11" defaultRowHeight="16" x14ac:dyDescent="0.2"/>
  <cols>
    <col min="1" max="16384" width="11" style="9"/>
  </cols>
  <sheetData>
    <row r="1" spans="1:6" ht="34" x14ac:dyDescent="0.2">
      <c r="A1" s="31" t="s">
        <v>207</v>
      </c>
      <c r="B1" s="31"/>
      <c r="C1" s="31"/>
      <c r="D1" s="31" t="s">
        <v>208</v>
      </c>
      <c r="E1" s="31" t="s">
        <v>209</v>
      </c>
    </row>
    <row r="2" spans="1:6" x14ac:dyDescent="0.2">
      <c r="B2" s="9" t="s">
        <v>97</v>
      </c>
      <c r="C2" s="37"/>
      <c r="D2" s="22">
        <v>3.4883720930232558</v>
      </c>
      <c r="E2" s="22">
        <v>1.4235705950991833</v>
      </c>
    </row>
    <row r="3" spans="1:6" x14ac:dyDescent="0.2">
      <c r="B3" s="9" t="s">
        <v>96</v>
      </c>
      <c r="C3" s="37"/>
      <c r="D3" s="22">
        <v>4.1430073606729758</v>
      </c>
      <c r="E3" s="22">
        <v>3.7263190856427117</v>
      </c>
    </row>
    <row r="4" spans="1:6" x14ac:dyDescent="0.2">
      <c r="B4" s="9" t="s">
        <v>109</v>
      </c>
      <c r="C4" s="37"/>
      <c r="D4" s="22">
        <v>2.2070015220700152</v>
      </c>
      <c r="E4" s="22">
        <v>0.70193030834795689</v>
      </c>
    </row>
    <row r="5" spans="1:6" x14ac:dyDescent="0.2">
      <c r="B5" s="9" t="s">
        <v>110</v>
      </c>
      <c r="C5" s="37"/>
      <c r="D5" s="22">
        <v>3.9350405996252342</v>
      </c>
      <c r="E5" s="22">
        <v>0.37726951190756897</v>
      </c>
    </row>
    <row r="6" spans="1:6" x14ac:dyDescent="0.2">
      <c r="B6" s="9" t="s">
        <v>111</v>
      </c>
      <c r="C6" s="37"/>
      <c r="D6" s="22">
        <v>1.1272141706924315</v>
      </c>
      <c r="E6" s="22">
        <v>0.30202355783751134</v>
      </c>
    </row>
    <row r="7" spans="1:6" x14ac:dyDescent="0.2">
      <c r="B7" s="9" t="s">
        <v>112</v>
      </c>
      <c r="C7" s="37"/>
      <c r="D7" s="22">
        <v>1.5847860538827259</v>
      </c>
      <c r="E7" s="22">
        <v>0.83125519534497094</v>
      </c>
    </row>
    <row r="8" spans="1:6" x14ac:dyDescent="0.2">
      <c r="B8" s="9" t="s">
        <v>113</v>
      </c>
      <c r="C8" s="37"/>
      <c r="D8" s="22">
        <v>1.9569491181689764</v>
      </c>
      <c r="E8" s="22">
        <v>1.2331703280807615</v>
      </c>
    </row>
    <row r="11" spans="1:6" x14ac:dyDescent="0.2">
      <c r="C11" s="17" t="s">
        <v>205</v>
      </c>
      <c r="D11" s="19">
        <f>AVERAGE(D2:D8)</f>
        <v>2.6346244168765161</v>
      </c>
      <c r="E11" s="19">
        <f>AVERAGE(E2:E8)</f>
        <v>1.2279340831800949</v>
      </c>
      <c r="F11" s="19"/>
    </row>
    <row r="12" spans="1:6" x14ac:dyDescent="0.2">
      <c r="C12" s="18" t="s">
        <v>206</v>
      </c>
      <c r="D12" s="20">
        <f>STDEV(D2:D8)</f>
        <v>1.2049714960233211</v>
      </c>
      <c r="E12" s="20">
        <f>STDEV(E2:E8)</f>
        <v>1.1758120108062116</v>
      </c>
      <c r="F12" s="20"/>
    </row>
    <row r="13" spans="1:6" x14ac:dyDescent="0.2">
      <c r="C13" s="26"/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EC5C81-FA4A-1D4C-BA6C-02D18EF3F0FA}">
  <dimension ref="A1:AF12"/>
  <sheetViews>
    <sheetView workbookViewId="0">
      <selection sqref="A1:XFD1048576"/>
    </sheetView>
  </sheetViews>
  <sheetFormatPr baseColWidth="10" defaultColWidth="11" defaultRowHeight="16" x14ac:dyDescent="0.2"/>
  <cols>
    <col min="1" max="1" width="11" style="9"/>
    <col min="2" max="2" width="9.83203125" style="9" customWidth="1"/>
    <col min="3" max="3" width="8.6640625" style="9" customWidth="1"/>
    <col min="4" max="4" width="10" style="9" customWidth="1"/>
    <col min="5" max="5" width="1.33203125" style="9" customWidth="1"/>
    <col min="6" max="7" width="9" style="9" customWidth="1"/>
    <col min="8" max="8" width="9.5" style="9" customWidth="1"/>
    <col min="9" max="9" width="1.33203125" style="9" customWidth="1"/>
    <col min="10" max="11" width="9" style="9" customWidth="1"/>
    <col min="12" max="12" width="9.5" style="9" customWidth="1"/>
    <col min="13" max="13" width="1.1640625" style="9" customWidth="1"/>
    <col min="14" max="14" width="9.33203125" style="9" customWidth="1"/>
    <col min="15" max="15" width="8.5" style="9" customWidth="1"/>
    <col min="16" max="16" width="9.6640625" style="9" customWidth="1"/>
    <col min="17" max="17" width="1.1640625" style="9" customWidth="1"/>
    <col min="18" max="18" width="9.33203125" style="9" customWidth="1"/>
    <col min="19" max="19" width="8.6640625" style="9" customWidth="1"/>
    <col min="20" max="20" width="9.6640625" style="9" customWidth="1"/>
    <col min="21" max="21" width="0.83203125" style="9" customWidth="1"/>
    <col min="22" max="22" width="9.1640625" style="9" customWidth="1"/>
    <col min="23" max="23" width="8.5" style="9" customWidth="1"/>
    <col min="24" max="24" width="9.33203125" style="9" customWidth="1"/>
    <col min="25" max="25" width="1" style="9" customWidth="1"/>
    <col min="26" max="26" width="9" style="9" customWidth="1"/>
    <col min="27" max="27" width="8.6640625" style="9" customWidth="1"/>
    <col min="28" max="28" width="9.6640625" style="9" customWidth="1"/>
    <col min="29" max="29" width="1.1640625" style="9" customWidth="1"/>
    <col min="30" max="30" width="9.33203125" style="9" customWidth="1"/>
    <col min="31" max="31" width="8.6640625" style="9" customWidth="1"/>
    <col min="32" max="32" width="9.6640625" style="9" customWidth="1"/>
    <col min="33" max="33" width="1.1640625" style="9" customWidth="1"/>
    <col min="34" max="16384" width="11" style="9"/>
  </cols>
  <sheetData>
    <row r="1" spans="1:32" x14ac:dyDescent="0.2">
      <c r="B1" s="9" t="s">
        <v>45</v>
      </c>
      <c r="F1" s="9" t="s">
        <v>211</v>
      </c>
      <c r="J1" s="9" t="s">
        <v>98</v>
      </c>
      <c r="N1" s="9" t="s">
        <v>99</v>
      </c>
      <c r="R1" s="9" t="s">
        <v>100</v>
      </c>
      <c r="V1" s="9" t="s">
        <v>101</v>
      </c>
      <c r="Z1" s="9" t="s">
        <v>102</v>
      </c>
      <c r="AD1" s="9" t="s">
        <v>103</v>
      </c>
    </row>
    <row r="2" spans="1:32" s="31" customFormat="1" ht="51" x14ac:dyDescent="0.2">
      <c r="B2" s="36" t="s">
        <v>104</v>
      </c>
      <c r="C2" s="36" t="s">
        <v>41</v>
      </c>
      <c r="D2" s="36" t="s">
        <v>210</v>
      </c>
      <c r="F2" s="36" t="s">
        <v>104</v>
      </c>
      <c r="G2" s="36" t="s">
        <v>41</v>
      </c>
      <c r="H2" s="36" t="s">
        <v>210</v>
      </c>
      <c r="J2" s="36" t="s">
        <v>104</v>
      </c>
      <c r="K2" s="36" t="s">
        <v>41</v>
      </c>
      <c r="L2" s="36" t="s">
        <v>210</v>
      </c>
      <c r="N2" s="36" t="s">
        <v>104</v>
      </c>
      <c r="O2" s="36" t="s">
        <v>41</v>
      </c>
      <c r="P2" s="36" t="s">
        <v>210</v>
      </c>
      <c r="R2" s="36" t="s">
        <v>104</v>
      </c>
      <c r="S2" s="36" t="s">
        <v>41</v>
      </c>
      <c r="T2" s="36" t="s">
        <v>210</v>
      </c>
      <c r="V2" s="36" t="s">
        <v>104</v>
      </c>
      <c r="W2" s="36" t="s">
        <v>41</v>
      </c>
      <c r="X2" s="36" t="s">
        <v>210</v>
      </c>
      <c r="Z2" s="36" t="s">
        <v>104</v>
      </c>
      <c r="AA2" s="36" t="s">
        <v>41</v>
      </c>
      <c r="AB2" s="36" t="s">
        <v>210</v>
      </c>
      <c r="AD2" s="36" t="s">
        <v>104</v>
      </c>
      <c r="AE2" s="36" t="s">
        <v>41</v>
      </c>
      <c r="AF2" s="36" t="s">
        <v>210</v>
      </c>
    </row>
    <row r="3" spans="1:32" x14ac:dyDescent="0.2">
      <c r="B3" s="22"/>
      <c r="C3" s="22"/>
      <c r="D3" s="22"/>
      <c r="F3" s="22"/>
      <c r="G3" s="22"/>
      <c r="H3" s="22"/>
      <c r="J3" s="22"/>
      <c r="K3" s="22"/>
      <c r="L3" s="22"/>
      <c r="N3" s="22"/>
      <c r="O3" s="22"/>
      <c r="P3" s="22"/>
      <c r="R3" s="22"/>
      <c r="S3" s="22"/>
      <c r="T3" s="22"/>
      <c r="V3" s="22"/>
      <c r="W3" s="22"/>
      <c r="X3" s="22"/>
      <c r="Z3" s="22"/>
      <c r="AA3" s="22"/>
      <c r="AB3" s="22"/>
      <c r="AD3" s="22"/>
      <c r="AE3" s="22"/>
      <c r="AF3" s="22"/>
    </row>
    <row r="4" spans="1:32" x14ac:dyDescent="0.2">
      <c r="B4" s="8">
        <v>3.94</v>
      </c>
      <c r="C4" s="8">
        <v>0.3</v>
      </c>
      <c r="D4" s="8">
        <v>0.28999999999999998</v>
      </c>
      <c r="F4" s="8">
        <v>2.0699999999999998</v>
      </c>
      <c r="G4" s="8">
        <v>2.1</v>
      </c>
      <c r="H4" s="8">
        <v>0.69</v>
      </c>
      <c r="J4" s="8">
        <v>0.99</v>
      </c>
      <c r="K4" s="8">
        <v>1.38</v>
      </c>
      <c r="L4" s="8">
        <v>0.94</v>
      </c>
      <c r="N4" s="8">
        <v>0.91</v>
      </c>
      <c r="O4" s="8">
        <v>1.1399999999999999</v>
      </c>
      <c r="P4" s="8">
        <v>1.1299999999999999</v>
      </c>
      <c r="R4" s="8">
        <v>0.95</v>
      </c>
      <c r="S4" s="8">
        <v>1.4</v>
      </c>
      <c r="T4" s="8">
        <v>0.97</v>
      </c>
      <c r="V4" s="8">
        <v>0.9</v>
      </c>
      <c r="W4" s="8">
        <v>1.49</v>
      </c>
      <c r="X4" s="8">
        <v>0.95</v>
      </c>
      <c r="Z4" s="8">
        <v>0.72</v>
      </c>
      <c r="AA4" s="8">
        <v>1.56</v>
      </c>
      <c r="AB4" s="8">
        <v>0.96</v>
      </c>
      <c r="AD4" s="8">
        <v>0.86</v>
      </c>
      <c r="AE4" s="8">
        <v>0.91</v>
      </c>
      <c r="AF4" s="8">
        <v>1.36</v>
      </c>
    </row>
    <row r="5" spans="1:32" x14ac:dyDescent="0.2">
      <c r="B5" s="8">
        <v>2.2599999999999998</v>
      </c>
      <c r="C5" s="8">
        <v>0.5</v>
      </c>
      <c r="D5" s="8">
        <v>0.45</v>
      </c>
      <c r="F5" s="8">
        <v>1.64</v>
      </c>
      <c r="G5" s="8">
        <v>2.25</v>
      </c>
      <c r="H5" s="8">
        <v>0.65</v>
      </c>
      <c r="J5" s="8">
        <v>0.76</v>
      </c>
      <c r="K5" s="8">
        <v>1.32</v>
      </c>
      <c r="L5" s="8">
        <v>1.1000000000000001</v>
      </c>
      <c r="N5" s="8">
        <v>0.79</v>
      </c>
      <c r="O5" s="8">
        <v>0.99</v>
      </c>
      <c r="P5" s="8">
        <v>1.26</v>
      </c>
      <c r="R5" s="8">
        <v>0.81</v>
      </c>
      <c r="S5" s="8">
        <v>1.47</v>
      </c>
      <c r="T5" s="8">
        <v>0.83</v>
      </c>
      <c r="V5" s="8">
        <v>0.81</v>
      </c>
      <c r="W5" s="8">
        <v>1.3</v>
      </c>
      <c r="X5" s="8">
        <v>1.1100000000000001</v>
      </c>
      <c r="Z5" s="8">
        <v>0.44</v>
      </c>
      <c r="AA5" s="8">
        <v>2.25</v>
      </c>
      <c r="AB5" s="8">
        <v>0.85</v>
      </c>
      <c r="AD5" s="8">
        <v>0.52</v>
      </c>
      <c r="AE5" s="8">
        <v>0.81</v>
      </c>
      <c r="AF5" s="8">
        <v>1.63</v>
      </c>
    </row>
    <row r="6" spans="1:32" x14ac:dyDescent="0.2">
      <c r="B6" s="8">
        <v>2.85</v>
      </c>
      <c r="C6" s="8">
        <v>0.57999999999999996</v>
      </c>
      <c r="D6" s="8">
        <v>0.25</v>
      </c>
      <c r="F6" s="8">
        <v>2.19</v>
      </c>
      <c r="G6" s="8">
        <v>2.16</v>
      </c>
      <c r="H6" s="8">
        <v>0.53</v>
      </c>
      <c r="J6" s="8">
        <v>0.8</v>
      </c>
      <c r="K6" s="8">
        <v>2.13</v>
      </c>
      <c r="L6" s="8">
        <v>0.74</v>
      </c>
      <c r="N6" s="8">
        <v>0.95</v>
      </c>
      <c r="O6" s="8">
        <v>1.01</v>
      </c>
      <c r="P6" s="8">
        <v>1.02</v>
      </c>
      <c r="R6" s="8">
        <v>1.08</v>
      </c>
      <c r="S6" s="8">
        <v>1.23</v>
      </c>
      <c r="T6" s="8">
        <v>0.75</v>
      </c>
      <c r="V6" s="8">
        <v>0.83</v>
      </c>
      <c r="W6" s="8">
        <v>1.25</v>
      </c>
      <c r="X6" s="8">
        <v>0.91</v>
      </c>
      <c r="Z6" s="8">
        <v>0.76</v>
      </c>
      <c r="AA6" s="8">
        <v>2.08</v>
      </c>
      <c r="AB6" s="8">
        <v>1.0900000000000001</v>
      </c>
      <c r="AD6" s="8">
        <v>0.8</v>
      </c>
      <c r="AE6" s="8">
        <v>0.83</v>
      </c>
      <c r="AF6" s="8">
        <v>1.18</v>
      </c>
    </row>
    <row r="7" spans="1:32" x14ac:dyDescent="0.2">
      <c r="B7" s="22"/>
      <c r="C7" s="22"/>
      <c r="D7" s="22"/>
      <c r="F7" s="22"/>
      <c r="G7" s="22"/>
      <c r="H7" s="22"/>
      <c r="J7" s="22"/>
      <c r="K7" s="22"/>
      <c r="L7" s="22"/>
      <c r="N7" s="22"/>
      <c r="O7" s="22"/>
      <c r="P7" s="22"/>
      <c r="R7" s="22"/>
      <c r="S7" s="22"/>
      <c r="T7" s="22"/>
      <c r="V7" s="22"/>
      <c r="W7" s="22"/>
      <c r="X7" s="22"/>
      <c r="Z7" s="22"/>
      <c r="AA7" s="22"/>
      <c r="AB7" s="22"/>
      <c r="AD7" s="22"/>
      <c r="AE7" s="22"/>
      <c r="AF7" s="22"/>
    </row>
    <row r="11" spans="1:32" x14ac:dyDescent="0.2">
      <c r="A11" s="17" t="s">
        <v>205</v>
      </c>
      <c r="B11" s="19">
        <f>AVERAGE(B3:B7)</f>
        <v>3.0166666666666662</v>
      </c>
      <c r="C11" s="19">
        <f t="shared" ref="C11:D11" si="0">AVERAGE(C3:C7)</f>
        <v>0.45999999999999996</v>
      </c>
      <c r="D11" s="19">
        <f t="shared" si="0"/>
        <v>0.33</v>
      </c>
      <c r="F11" s="19">
        <f>AVERAGE(F3:F7)</f>
        <v>1.9666666666666668</v>
      </c>
      <c r="G11" s="19">
        <f t="shared" ref="G11:H11" si="1">AVERAGE(G3:G7)</f>
        <v>2.17</v>
      </c>
      <c r="H11" s="19">
        <f t="shared" si="1"/>
        <v>0.62333333333333329</v>
      </c>
      <c r="J11" s="19">
        <f>AVERAGE(J3:J7)</f>
        <v>0.85</v>
      </c>
      <c r="K11" s="19">
        <f t="shared" ref="K11:L11" si="2">AVERAGE(K3:K7)</f>
        <v>1.61</v>
      </c>
      <c r="L11" s="19">
        <f t="shared" si="2"/>
        <v>0.92666666666666675</v>
      </c>
      <c r="N11" s="19">
        <f>AVERAGE(N3:N7)</f>
        <v>0.88333333333333341</v>
      </c>
      <c r="O11" s="19">
        <f t="shared" ref="O11:P11" si="3">AVERAGE(O3:O7)</f>
        <v>1.0466666666666666</v>
      </c>
      <c r="P11" s="19">
        <f t="shared" si="3"/>
        <v>1.1366666666666665</v>
      </c>
      <c r="R11" s="19">
        <f>AVERAGE(R3:R7)</f>
        <v>0.94666666666666666</v>
      </c>
      <c r="S11" s="19">
        <f t="shared" ref="S11:T11" si="4">AVERAGE(S3:S7)</f>
        <v>1.3666666666666665</v>
      </c>
      <c r="T11" s="19">
        <f t="shared" si="4"/>
        <v>0.85</v>
      </c>
      <c r="V11" s="19">
        <f>AVERAGE(V3:V7)</f>
        <v>0.84666666666666668</v>
      </c>
      <c r="W11" s="19">
        <f t="shared" ref="W11:X11" si="5">AVERAGE(W3:W7)</f>
        <v>1.3466666666666667</v>
      </c>
      <c r="X11" s="19">
        <f t="shared" si="5"/>
        <v>0.9900000000000001</v>
      </c>
      <c r="Z11" s="19">
        <f>AVERAGE(Z3:Z7)</f>
        <v>0.64</v>
      </c>
      <c r="AA11" s="19">
        <f t="shared" ref="AA11:AB11" si="6">AVERAGE(AA3:AA7)</f>
        <v>1.9633333333333336</v>
      </c>
      <c r="AB11" s="19">
        <f t="shared" si="6"/>
        <v>0.96666666666666679</v>
      </c>
      <c r="AD11" s="19">
        <f>AVERAGE(AD3:AD7)</f>
        <v>0.72666666666666657</v>
      </c>
      <c r="AE11" s="19">
        <f t="shared" ref="AE11:AF11" si="7">AVERAGE(AE3:AE7)</f>
        <v>0.85000000000000009</v>
      </c>
      <c r="AF11" s="19">
        <f t="shared" si="7"/>
        <v>1.39</v>
      </c>
    </row>
    <row r="12" spans="1:32" x14ac:dyDescent="0.2">
      <c r="A12" s="18" t="s">
        <v>206</v>
      </c>
      <c r="B12" s="20">
        <f>STDEV(B3:B7)</f>
        <v>0.85231058501777268</v>
      </c>
      <c r="C12" s="20">
        <f t="shared" ref="C12:D12" si="8">STDEV(C3:C7)</f>
        <v>0.14422205101855953</v>
      </c>
      <c r="D12" s="20">
        <f t="shared" si="8"/>
        <v>0.1058300524425837</v>
      </c>
      <c r="F12" s="20">
        <f>STDEV(F3:F7)</f>
        <v>0.28919428302325123</v>
      </c>
      <c r="G12" s="20">
        <f t="shared" ref="G12:H12" si="9">STDEV(G3:G7)</f>
        <v>7.5498344352707442E-2</v>
      </c>
      <c r="H12" s="20">
        <f t="shared" si="9"/>
        <v>8.326663997864539E-2</v>
      </c>
      <c r="J12" s="20">
        <f>STDEV(J3:J7)</f>
        <v>0.12288205727444554</v>
      </c>
      <c r="K12" s="20">
        <f t="shared" ref="K12:L12" si="10">STDEV(K3:K7)</f>
        <v>0.45133136385586931</v>
      </c>
      <c r="L12" s="20">
        <f t="shared" si="10"/>
        <v>0.18036999011291568</v>
      </c>
      <c r="N12" s="20">
        <f>STDEV(N3:N7)</f>
        <v>8.3266639978645279E-2</v>
      </c>
      <c r="O12" s="20">
        <f t="shared" ref="O12:P12" si="11">STDEV(O3:O7)</f>
        <v>8.1445278152470726E-2</v>
      </c>
      <c r="P12" s="20">
        <f t="shared" si="11"/>
        <v>0.12013880860626733</v>
      </c>
      <c r="R12" s="20">
        <f>STDEV(R3:R7)</f>
        <v>0.13503086067019474</v>
      </c>
      <c r="S12" s="20">
        <f t="shared" ref="S12:T12" si="12">STDEV(S3:S7)</f>
        <v>0.12342339054382412</v>
      </c>
      <c r="T12" s="20">
        <f t="shared" si="12"/>
        <v>0.11135528725660029</v>
      </c>
      <c r="V12" s="20">
        <f>STDEV(V3:V7)</f>
        <v>4.725815626252608E-2</v>
      </c>
      <c r="W12" s="20">
        <f t="shared" ref="W12:X12" si="13">STDEV(W3:W7)</f>
        <v>0.12662279942148386</v>
      </c>
      <c r="X12" s="20">
        <f t="shared" si="13"/>
        <v>0.10583005244258369</v>
      </c>
      <c r="Z12" s="20">
        <f>STDEV(Z3:Z7)</f>
        <v>0.17435595774162721</v>
      </c>
      <c r="AA12" s="20">
        <f t="shared" ref="AA12:AB12" si="14">STDEV(AA3:AA7)</f>
        <v>0.3594903800289147</v>
      </c>
      <c r="AB12" s="20">
        <f t="shared" si="14"/>
        <v>0.12013880860626626</v>
      </c>
      <c r="AD12" s="20">
        <f>STDEV(AD3:AD7)</f>
        <v>0.18147543451755005</v>
      </c>
      <c r="AE12" s="20">
        <f t="shared" ref="AE12:AF12" si="15">STDEV(AE3:AE7)</f>
        <v>5.2915026221291822E-2</v>
      </c>
      <c r="AF12" s="20">
        <f t="shared" si="15"/>
        <v>0.22649503305812227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56D7A5-CC8E-D640-B3EB-F22306258282}">
  <dimension ref="A1:E13"/>
  <sheetViews>
    <sheetView workbookViewId="0">
      <selection activeCell="H8" sqref="H8"/>
    </sheetView>
  </sheetViews>
  <sheetFormatPr baseColWidth="10" defaultRowHeight="16" x14ac:dyDescent="0.2"/>
  <cols>
    <col min="1" max="16384" width="10.83203125" style="9"/>
  </cols>
  <sheetData>
    <row r="1" spans="1:5" x14ac:dyDescent="0.2">
      <c r="A1" s="9" t="s">
        <v>280</v>
      </c>
    </row>
    <row r="2" spans="1:5" s="31" customFormat="1" ht="51" x14ac:dyDescent="0.2">
      <c r="B2" s="33" t="s">
        <v>36</v>
      </c>
      <c r="C2" s="33" t="s">
        <v>212</v>
      </c>
      <c r="D2" s="33" t="s">
        <v>213</v>
      </c>
      <c r="E2" s="33" t="s">
        <v>214</v>
      </c>
    </row>
    <row r="3" spans="1:5" x14ac:dyDescent="0.2">
      <c r="A3" s="37"/>
      <c r="B3" s="22"/>
      <c r="C3" s="22"/>
    </row>
    <row r="4" spans="1:5" x14ac:dyDescent="0.2">
      <c r="A4" s="37"/>
      <c r="B4" s="8">
        <v>0.59</v>
      </c>
      <c r="C4" s="8">
        <v>1.98</v>
      </c>
      <c r="D4" s="8">
        <v>3.91</v>
      </c>
      <c r="E4" s="8">
        <v>1.92</v>
      </c>
    </row>
    <row r="5" spans="1:5" x14ac:dyDescent="0.2">
      <c r="A5" s="37"/>
      <c r="B5" s="8">
        <v>0.98</v>
      </c>
      <c r="C5" s="8">
        <v>1.25</v>
      </c>
      <c r="D5" s="8">
        <v>3.18</v>
      </c>
      <c r="E5" s="8">
        <v>0.3</v>
      </c>
    </row>
    <row r="6" spans="1:5" x14ac:dyDescent="0.2">
      <c r="A6" s="37"/>
      <c r="B6" s="8">
        <v>1.49</v>
      </c>
      <c r="C6" s="8">
        <v>1.87</v>
      </c>
      <c r="D6" s="8">
        <v>4.21</v>
      </c>
      <c r="E6" s="8">
        <v>0.31</v>
      </c>
    </row>
    <row r="7" spans="1:5" x14ac:dyDescent="0.2">
      <c r="A7" s="37"/>
      <c r="B7" s="22"/>
      <c r="C7" s="22"/>
    </row>
    <row r="8" spans="1:5" x14ac:dyDescent="0.2">
      <c r="A8" s="37"/>
      <c r="B8" s="22"/>
      <c r="C8" s="22"/>
    </row>
    <row r="9" spans="1:5" x14ac:dyDescent="0.2">
      <c r="A9" s="37"/>
      <c r="B9" s="22"/>
      <c r="C9" s="22"/>
    </row>
    <row r="12" spans="1:5" x14ac:dyDescent="0.2">
      <c r="A12" s="17" t="s">
        <v>205</v>
      </c>
      <c r="B12" s="19">
        <f>AVERAGE(B3:B9)</f>
        <v>1.0199999999999998</v>
      </c>
      <c r="C12" s="19">
        <f>AVERAGE(C3:C9)</f>
        <v>1.7</v>
      </c>
      <c r="D12" s="19">
        <f t="shared" ref="D12:E12" si="0">AVERAGE(D3:D9)</f>
        <v>3.7666666666666671</v>
      </c>
      <c r="E12" s="19">
        <f t="shared" si="0"/>
        <v>0.84333333333333327</v>
      </c>
    </row>
    <row r="13" spans="1:5" x14ac:dyDescent="0.2">
      <c r="A13" s="18" t="s">
        <v>206</v>
      </c>
      <c r="B13" s="20">
        <f>STDEV(B3:B9)</f>
        <v>0.45133136385587053</v>
      </c>
      <c r="C13" s="20">
        <f>STDEV(C3:C9)</f>
        <v>0.39357337308308915</v>
      </c>
      <c r="D13" s="20">
        <f t="shared" ref="D13:E13" si="1">STDEV(D3:D9)</f>
        <v>0.52974836793833602</v>
      </c>
      <c r="E13" s="20">
        <f t="shared" si="1"/>
        <v>0.93243409061087701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4CA563-E5B5-6842-B13C-D10D3984B4D1}">
  <dimension ref="A1:C36"/>
  <sheetViews>
    <sheetView workbookViewId="0">
      <selection sqref="A1:XFD1048576"/>
    </sheetView>
  </sheetViews>
  <sheetFormatPr baseColWidth="10" defaultColWidth="11" defaultRowHeight="16" x14ac:dyDescent="0.2"/>
  <cols>
    <col min="1" max="16384" width="11" style="9"/>
  </cols>
  <sheetData>
    <row r="1" spans="1:3" x14ac:dyDescent="0.2">
      <c r="A1" s="9" t="s">
        <v>114</v>
      </c>
      <c r="B1" s="9" t="s">
        <v>3</v>
      </c>
      <c r="C1" s="9" t="s">
        <v>5</v>
      </c>
    </row>
    <row r="2" spans="1:3" x14ac:dyDescent="0.2">
      <c r="B2" s="9" t="s">
        <v>115</v>
      </c>
      <c r="C2" s="9" t="s">
        <v>116</v>
      </c>
    </row>
    <row r="3" spans="1:3" x14ac:dyDescent="0.2">
      <c r="B3" s="9">
        <v>35.799999999999997</v>
      </c>
      <c r="C3" s="9">
        <v>107.566</v>
      </c>
    </row>
    <row r="4" spans="1:3" x14ac:dyDescent="0.2">
      <c r="B4" s="9">
        <v>26.058</v>
      </c>
      <c r="C4" s="9">
        <v>74.763000000000005</v>
      </c>
    </row>
    <row r="5" spans="1:3" x14ac:dyDescent="0.2">
      <c r="B5" s="9">
        <v>29.181999999999999</v>
      </c>
      <c r="C5" s="9">
        <v>113.074</v>
      </c>
    </row>
    <row r="6" spans="1:3" x14ac:dyDescent="0.2">
      <c r="B6" s="9">
        <v>22.704999999999998</v>
      </c>
      <c r="C6" s="9">
        <v>89.766000000000005</v>
      </c>
    </row>
    <row r="7" spans="1:3" x14ac:dyDescent="0.2">
      <c r="B7" s="9">
        <v>21.56</v>
      </c>
      <c r="C7" s="9">
        <v>30.571999999999999</v>
      </c>
    </row>
    <row r="8" spans="1:3" x14ac:dyDescent="0.2">
      <c r="B8" s="9">
        <v>24.808</v>
      </c>
      <c r="C8" s="9">
        <v>94.575999999999993</v>
      </c>
    </row>
    <row r="9" spans="1:3" x14ac:dyDescent="0.2">
      <c r="B9" s="9">
        <v>31.7</v>
      </c>
      <c r="C9" s="9">
        <v>82.051000000000002</v>
      </c>
    </row>
    <row r="10" spans="1:3" x14ac:dyDescent="0.2">
      <c r="B10" s="9">
        <v>23.536999999999999</v>
      </c>
      <c r="C10" s="9">
        <v>83.980999999999995</v>
      </c>
    </row>
    <row r="11" spans="1:3" x14ac:dyDescent="0.2">
      <c r="B11" s="9">
        <v>31.63</v>
      </c>
      <c r="C11" s="9">
        <v>98.796999999999997</v>
      </c>
    </row>
    <row r="12" spans="1:3" x14ac:dyDescent="0.2">
      <c r="B12" s="9">
        <v>30.8</v>
      </c>
      <c r="C12" s="9">
        <v>58.991</v>
      </c>
    </row>
    <row r="13" spans="1:3" x14ac:dyDescent="0.2">
      <c r="B13" s="9" t="s">
        <v>117</v>
      </c>
      <c r="C13" s="9" t="s">
        <v>118</v>
      </c>
    </row>
    <row r="14" spans="1:3" x14ac:dyDescent="0.2">
      <c r="B14" s="9">
        <v>35.828000000000003</v>
      </c>
      <c r="C14" s="9">
        <v>57.558</v>
      </c>
    </row>
    <row r="15" spans="1:3" x14ac:dyDescent="0.2">
      <c r="B15" s="9">
        <v>29.114000000000001</v>
      </c>
      <c r="C15" s="9">
        <v>60.435000000000002</v>
      </c>
    </row>
    <row r="16" spans="1:3" x14ac:dyDescent="0.2">
      <c r="B16" s="9">
        <v>54.972999999999999</v>
      </c>
      <c r="C16" s="9">
        <v>52.533000000000001</v>
      </c>
    </row>
    <row r="17" spans="2:3" x14ac:dyDescent="0.2">
      <c r="B17" s="9">
        <v>25.959</v>
      </c>
      <c r="C17" s="9">
        <v>90.933000000000007</v>
      </c>
    </row>
    <row r="18" spans="2:3" x14ac:dyDescent="0.2">
      <c r="B18" s="9">
        <v>31.617000000000001</v>
      </c>
      <c r="C18" s="9">
        <v>81.787000000000006</v>
      </c>
    </row>
    <row r="19" spans="2:3" x14ac:dyDescent="0.2">
      <c r="B19" s="9">
        <v>45.456000000000003</v>
      </c>
      <c r="C19" s="9">
        <v>101.512</v>
      </c>
    </row>
    <row r="20" spans="2:3" x14ac:dyDescent="0.2">
      <c r="B20" s="9">
        <v>34.859000000000002</v>
      </c>
      <c r="C20" s="9">
        <v>51.566000000000003</v>
      </c>
    </row>
    <row r="21" spans="2:3" x14ac:dyDescent="0.2">
      <c r="B21" s="9">
        <v>33.485999999999997</v>
      </c>
      <c r="C21" s="9">
        <v>142.23400000000001</v>
      </c>
    </row>
    <row r="22" spans="2:3" x14ac:dyDescent="0.2">
      <c r="B22" s="9">
        <v>33.128</v>
      </c>
      <c r="C22" s="9">
        <v>80.516000000000005</v>
      </c>
    </row>
    <row r="23" spans="2:3" x14ac:dyDescent="0.2">
      <c r="B23" s="9">
        <v>23.843</v>
      </c>
    </row>
    <row r="24" spans="2:3" x14ac:dyDescent="0.2">
      <c r="B24" s="9" t="s">
        <v>119</v>
      </c>
      <c r="C24" s="9" t="s">
        <v>120</v>
      </c>
    </row>
    <row r="25" spans="2:3" x14ac:dyDescent="0.2">
      <c r="B25" s="9">
        <v>32.499000000000002</v>
      </c>
      <c r="C25" s="9">
        <v>29.585000000000001</v>
      </c>
    </row>
    <row r="26" spans="2:3" x14ac:dyDescent="0.2">
      <c r="B26" s="9">
        <v>29.532</v>
      </c>
      <c r="C26" s="9">
        <v>88.887</v>
      </c>
    </row>
    <row r="27" spans="2:3" x14ac:dyDescent="0.2">
      <c r="B27" s="9">
        <v>35.563000000000002</v>
      </c>
      <c r="C27" s="9">
        <v>25.061</v>
      </c>
    </row>
    <row r="28" spans="2:3" x14ac:dyDescent="0.2">
      <c r="B28" s="9">
        <v>32.695999999999998</v>
      </c>
    </row>
    <row r="29" spans="2:3" x14ac:dyDescent="0.2">
      <c r="B29" s="9">
        <v>37.241</v>
      </c>
    </row>
    <row r="30" spans="2:3" x14ac:dyDescent="0.2">
      <c r="B30" s="9">
        <v>34.343000000000004</v>
      </c>
    </row>
    <row r="31" spans="2:3" x14ac:dyDescent="0.2">
      <c r="B31" s="9">
        <v>72.659000000000006</v>
      </c>
    </row>
    <row r="32" spans="2:3" x14ac:dyDescent="0.2">
      <c r="B32" s="9">
        <v>44.929000000000002</v>
      </c>
    </row>
    <row r="33" spans="1:3" x14ac:dyDescent="0.2">
      <c r="B33" s="9">
        <v>24.518000000000001</v>
      </c>
    </row>
    <row r="35" spans="1:3" x14ac:dyDescent="0.2">
      <c r="A35" s="17" t="s">
        <v>205</v>
      </c>
      <c r="B35" s="19">
        <f>AVERAGE(B2:B33)</f>
        <v>33.449068965517242</v>
      </c>
      <c r="C35" s="19">
        <f>AVERAGE(C2:C33)</f>
        <v>77.124727272727284</v>
      </c>
    </row>
    <row r="36" spans="1:3" x14ac:dyDescent="0.2">
      <c r="A36" s="18" t="s">
        <v>206</v>
      </c>
      <c r="B36" s="20">
        <f>STDEV(B3:B33)</f>
        <v>10.509530592789968</v>
      </c>
      <c r="C36" s="20">
        <f>STDEV(C3:C33)</f>
        <v>29.123854140846717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A6D8E-1343-0740-93FD-9AF1395C3EE0}">
  <dimension ref="A1:D75"/>
  <sheetViews>
    <sheetView workbookViewId="0">
      <selection sqref="A1:XFD1048576"/>
    </sheetView>
  </sheetViews>
  <sheetFormatPr baseColWidth="10" defaultColWidth="11" defaultRowHeight="16" x14ac:dyDescent="0.2"/>
  <cols>
    <col min="1" max="16384" width="11" style="9"/>
  </cols>
  <sheetData>
    <row r="1" spans="1:4" x14ac:dyDescent="0.2">
      <c r="A1" s="9" t="s">
        <v>121</v>
      </c>
    </row>
    <row r="2" spans="1:4" x14ac:dyDescent="0.2">
      <c r="A2" s="9" t="s">
        <v>122</v>
      </c>
    </row>
    <row r="3" spans="1:4" x14ac:dyDescent="0.2">
      <c r="B3" s="9" t="s">
        <v>123</v>
      </c>
      <c r="C3" s="9" t="s">
        <v>124</v>
      </c>
      <c r="D3" s="9" t="s">
        <v>125</v>
      </c>
    </row>
    <row r="4" spans="1:4" x14ac:dyDescent="0.2">
      <c r="B4" s="38">
        <v>-2.4880000000000013</v>
      </c>
      <c r="C4" s="38">
        <v>21.612999999999996</v>
      </c>
      <c r="D4" s="38">
        <v>36.005000000000003</v>
      </c>
    </row>
    <row r="5" spans="1:4" x14ac:dyDescent="0.2">
      <c r="B5" s="38">
        <v>55.966999999999999</v>
      </c>
      <c r="C5" s="38">
        <v>12.730999999999998</v>
      </c>
      <c r="D5" s="38">
        <v>26.499000000000002</v>
      </c>
    </row>
    <row r="6" spans="1:4" x14ac:dyDescent="0.2">
      <c r="B6" s="38">
        <v>-0.26900000000000013</v>
      </c>
      <c r="C6" s="38">
        <v>53.733999999999995</v>
      </c>
      <c r="D6" s="38">
        <v>46.752000000000002</v>
      </c>
    </row>
    <row r="7" spans="1:4" x14ac:dyDescent="0.2">
      <c r="B7" s="38">
        <v>15.637999999999998</v>
      </c>
      <c r="C7" s="38">
        <v>33.072000000000003</v>
      </c>
      <c r="D7" s="38">
        <v>43.355000000000004</v>
      </c>
    </row>
    <row r="8" spans="1:4" x14ac:dyDescent="0.2">
      <c r="B8" s="38">
        <v>57.738</v>
      </c>
      <c r="C8" s="38">
        <v>56.961999999999989</v>
      </c>
      <c r="D8" s="38">
        <v>33.758000000000003</v>
      </c>
    </row>
    <row r="9" spans="1:4" x14ac:dyDescent="0.2">
      <c r="B9" s="38">
        <v>41.153000000000006</v>
      </c>
      <c r="C9" s="38">
        <v>49.201999999999998</v>
      </c>
      <c r="D9" s="38">
        <v>97.715000000000003</v>
      </c>
    </row>
    <row r="10" spans="1:4" x14ac:dyDescent="0.2">
      <c r="B10" s="38">
        <v>21.022000000000002</v>
      </c>
      <c r="C10" s="38">
        <v>16.425999999999998</v>
      </c>
      <c r="D10" s="38">
        <v>54.423000000000002</v>
      </c>
    </row>
    <row r="11" spans="1:4" x14ac:dyDescent="0.2">
      <c r="B11" s="38">
        <v>10.611000000000001</v>
      </c>
      <c r="C11" s="38">
        <v>23.667999999999996</v>
      </c>
      <c r="D11" s="38">
        <v>72.219000000000008</v>
      </c>
    </row>
    <row r="12" spans="1:4" x14ac:dyDescent="0.2">
      <c r="B12" s="38">
        <v>21.632999999999999</v>
      </c>
      <c r="C12" s="38">
        <v>19.250999999999998</v>
      </c>
      <c r="D12" s="38">
        <v>56.227000000000004</v>
      </c>
    </row>
    <row r="13" spans="1:4" x14ac:dyDescent="0.2">
      <c r="B13" s="38">
        <v>20.434000000000001</v>
      </c>
      <c r="C13" s="38">
        <v>25.127999999999997</v>
      </c>
      <c r="D13" s="38"/>
    </row>
    <row r="14" spans="1:4" x14ac:dyDescent="0.2">
      <c r="B14" s="38">
        <v>15.559999999999999</v>
      </c>
      <c r="C14" s="38">
        <v>34.097999999999999</v>
      </c>
      <c r="D14" s="38">
        <v>16.489000000000001</v>
      </c>
    </row>
    <row r="15" spans="1:4" x14ac:dyDescent="0.2">
      <c r="B15" s="38">
        <v>28.099999999999998</v>
      </c>
      <c r="C15" s="38"/>
      <c r="D15" s="38">
        <v>13.042999999999999</v>
      </c>
    </row>
    <row r="16" spans="1:4" x14ac:dyDescent="0.2">
      <c r="B16" s="38"/>
      <c r="C16" s="38">
        <v>16.637999999999998</v>
      </c>
      <c r="D16" s="38">
        <v>5.6179999999999986</v>
      </c>
    </row>
    <row r="17" spans="2:4" x14ac:dyDescent="0.2">
      <c r="B17" s="38">
        <v>5.5149999999999997</v>
      </c>
      <c r="C17" s="38">
        <v>40.512</v>
      </c>
      <c r="D17" s="38">
        <v>13.425000000000001</v>
      </c>
    </row>
    <row r="18" spans="2:4" x14ac:dyDescent="0.2">
      <c r="B18" s="38">
        <v>7.8120000000000003</v>
      </c>
      <c r="C18" s="38">
        <v>58.632000000000005</v>
      </c>
      <c r="D18" s="38">
        <v>19.972999999999999</v>
      </c>
    </row>
    <row r="19" spans="2:4" x14ac:dyDescent="0.2">
      <c r="B19" s="38">
        <v>14.202999999999999</v>
      </c>
      <c r="C19" s="38">
        <v>20.252000000000002</v>
      </c>
      <c r="D19" s="38">
        <v>13.157</v>
      </c>
    </row>
    <row r="20" spans="2:4" x14ac:dyDescent="0.2">
      <c r="B20" s="38">
        <v>12.23</v>
      </c>
      <c r="C20" s="38">
        <v>16.597999999999999</v>
      </c>
      <c r="D20" s="38">
        <v>34.206000000000003</v>
      </c>
    </row>
    <row r="21" spans="2:4" x14ac:dyDescent="0.2">
      <c r="B21" s="38">
        <v>7.0059999999999993</v>
      </c>
      <c r="C21" s="38">
        <v>43.106000000000002</v>
      </c>
      <c r="D21" s="38">
        <v>13.82</v>
      </c>
    </row>
    <row r="22" spans="2:4" x14ac:dyDescent="0.2">
      <c r="B22" s="38">
        <v>10.148</v>
      </c>
      <c r="C22" s="38">
        <v>36.273000000000003</v>
      </c>
      <c r="D22" s="38">
        <v>27.573999999999998</v>
      </c>
    </row>
    <row r="23" spans="2:4" x14ac:dyDescent="0.2">
      <c r="B23" s="38">
        <v>8.6700000000000017</v>
      </c>
      <c r="C23" s="38">
        <v>37.945999999999998</v>
      </c>
      <c r="D23" s="38">
        <v>29.155000000000001</v>
      </c>
    </row>
    <row r="24" spans="2:4" x14ac:dyDescent="0.2">
      <c r="B24" s="38">
        <v>1.5549999999999997</v>
      </c>
      <c r="C24" s="38">
        <v>42.195999999999998</v>
      </c>
      <c r="D24" s="38"/>
    </row>
    <row r="25" spans="2:4" x14ac:dyDescent="0.2">
      <c r="B25" s="38">
        <v>1.8720000000000008</v>
      </c>
      <c r="C25" s="38">
        <v>28.270000000000003</v>
      </c>
      <c r="D25" s="38">
        <v>82.031999999999996</v>
      </c>
    </row>
    <row r="26" spans="2:4" x14ac:dyDescent="0.2">
      <c r="B26" s="38">
        <v>6.3489999999999993</v>
      </c>
      <c r="C26" s="38"/>
      <c r="D26" s="38">
        <v>27.867000000000004</v>
      </c>
    </row>
    <row r="27" spans="2:4" x14ac:dyDescent="0.2">
      <c r="B27" s="38">
        <v>2.6700000000000008</v>
      </c>
      <c r="C27" s="38">
        <v>74.756999999999991</v>
      </c>
      <c r="D27" s="38">
        <v>17.945999999999998</v>
      </c>
    </row>
    <row r="28" spans="2:4" x14ac:dyDescent="0.2">
      <c r="B28" s="38">
        <v>0.75199999999999978</v>
      </c>
      <c r="C28" s="38">
        <v>21.623000000000001</v>
      </c>
      <c r="D28" s="38">
        <v>38.703000000000003</v>
      </c>
    </row>
    <row r="29" spans="2:4" x14ac:dyDescent="0.2">
      <c r="B29" s="38">
        <v>0.61399999999999988</v>
      </c>
      <c r="C29" s="38">
        <v>55.529999999999994</v>
      </c>
      <c r="D29" s="38">
        <v>15.996000000000002</v>
      </c>
    </row>
    <row r="30" spans="2:4" x14ac:dyDescent="0.2">
      <c r="B30" s="38"/>
      <c r="C30" s="38">
        <v>79.135999999999996</v>
      </c>
      <c r="D30" s="38">
        <v>25.134999999999998</v>
      </c>
    </row>
    <row r="31" spans="2:4" x14ac:dyDescent="0.2">
      <c r="B31" s="38">
        <v>2.9319999999999986</v>
      </c>
      <c r="C31" s="38">
        <v>39.201000000000001</v>
      </c>
      <c r="D31" s="38">
        <v>31.902000000000001</v>
      </c>
    </row>
    <row r="32" spans="2:4" x14ac:dyDescent="0.2">
      <c r="B32" s="38">
        <v>13.300999999999998</v>
      </c>
      <c r="C32" s="38">
        <v>63.629999999999995</v>
      </c>
      <c r="D32" s="38">
        <v>53.245999999999995</v>
      </c>
    </row>
    <row r="33" spans="2:4" x14ac:dyDescent="0.2">
      <c r="B33" s="38">
        <v>15.120000000000001</v>
      </c>
      <c r="C33" s="38">
        <v>65.52</v>
      </c>
      <c r="D33" s="38">
        <v>13.66</v>
      </c>
    </row>
    <row r="34" spans="2:4" x14ac:dyDescent="0.2">
      <c r="B34" s="38">
        <v>9.1239999999999988</v>
      </c>
      <c r="C34" s="38">
        <v>56.492999999999995</v>
      </c>
      <c r="D34" s="38">
        <v>45.088000000000001</v>
      </c>
    </row>
    <row r="35" spans="2:4" x14ac:dyDescent="0.2">
      <c r="B35" s="38">
        <v>51.393999999999991</v>
      </c>
      <c r="C35" s="38">
        <v>58.125999999999991</v>
      </c>
      <c r="D35" s="38"/>
    </row>
    <row r="36" spans="2:4" x14ac:dyDescent="0.2">
      <c r="B36" s="38">
        <v>4.8769999999999989</v>
      </c>
      <c r="C36" s="38">
        <v>67.653999999999996</v>
      </c>
      <c r="D36" s="38">
        <v>34.447000000000003</v>
      </c>
    </row>
    <row r="37" spans="2:4" x14ac:dyDescent="0.2">
      <c r="B37" s="38">
        <v>12.068999999999999</v>
      </c>
      <c r="C37" s="38">
        <v>54.637999999999998</v>
      </c>
      <c r="D37" s="38">
        <v>47.104999999999997</v>
      </c>
    </row>
    <row r="38" spans="2:4" x14ac:dyDescent="0.2">
      <c r="B38" s="38">
        <v>26.538</v>
      </c>
      <c r="C38" s="38">
        <v>73.406999999999996</v>
      </c>
      <c r="D38" s="38">
        <v>23.003</v>
      </c>
    </row>
    <row r="39" spans="2:4" x14ac:dyDescent="0.2">
      <c r="B39" s="38">
        <v>11.044</v>
      </c>
      <c r="C39" s="38"/>
      <c r="D39" s="38">
        <v>35.717999999999996</v>
      </c>
    </row>
    <row r="40" spans="2:4" x14ac:dyDescent="0.2">
      <c r="B40" s="38">
        <v>4.8790000000000013</v>
      </c>
      <c r="C40" s="38">
        <v>48.623000000000005</v>
      </c>
      <c r="D40" s="38">
        <v>15.219999999999999</v>
      </c>
    </row>
    <row r="41" spans="2:4" x14ac:dyDescent="0.2">
      <c r="B41" s="38"/>
      <c r="C41" s="38">
        <v>19.951000000000001</v>
      </c>
      <c r="D41" s="38">
        <v>14.111000000000001</v>
      </c>
    </row>
    <row r="42" spans="2:4" x14ac:dyDescent="0.2">
      <c r="B42" s="38">
        <v>10.119000000000003</v>
      </c>
      <c r="C42" s="38">
        <v>11.677</v>
      </c>
      <c r="D42" s="38">
        <v>14.576999999999998</v>
      </c>
    </row>
    <row r="43" spans="2:4" x14ac:dyDescent="0.2">
      <c r="B43" s="38">
        <v>5.0460000000000029</v>
      </c>
      <c r="C43" s="38">
        <v>37.227999999999994</v>
      </c>
      <c r="D43" s="38">
        <v>25.771000000000001</v>
      </c>
    </row>
    <row r="44" spans="2:4" x14ac:dyDescent="0.2">
      <c r="B44" s="38">
        <v>24.544</v>
      </c>
      <c r="C44" s="38">
        <v>34.858999999999995</v>
      </c>
      <c r="D44" s="38">
        <v>19.004999999999999</v>
      </c>
    </row>
    <row r="45" spans="2:4" x14ac:dyDescent="0.2">
      <c r="B45" s="38">
        <v>36.426000000000002</v>
      </c>
      <c r="C45" s="38">
        <v>9.8070000000000022</v>
      </c>
      <c r="D45" s="38">
        <v>27.29</v>
      </c>
    </row>
    <row r="46" spans="2:4" x14ac:dyDescent="0.2">
      <c r="B46" s="38">
        <v>-0.73799999999999955</v>
      </c>
      <c r="C46" s="38">
        <v>11.323</v>
      </c>
      <c r="D46" s="38">
        <v>8.5940000000000012</v>
      </c>
    </row>
    <row r="47" spans="2:4" x14ac:dyDescent="0.2">
      <c r="B47" s="38">
        <v>3.4570000000000007</v>
      </c>
      <c r="C47" s="38">
        <v>30.167000000000002</v>
      </c>
      <c r="D47" s="38"/>
    </row>
    <row r="48" spans="2:4" x14ac:dyDescent="0.2">
      <c r="B48" s="38">
        <v>16.524000000000004</v>
      </c>
      <c r="C48" s="38">
        <v>13.173999999999999</v>
      </c>
      <c r="D48" s="38"/>
    </row>
    <row r="49" spans="2:4" x14ac:dyDescent="0.2">
      <c r="B49" s="38">
        <v>12.817000000000004</v>
      </c>
      <c r="C49" s="38">
        <v>34.972999999999999</v>
      </c>
      <c r="D49" s="38">
        <v>10.556999999999999</v>
      </c>
    </row>
    <row r="50" spans="2:4" x14ac:dyDescent="0.2">
      <c r="B50" s="38">
        <v>13.843</v>
      </c>
      <c r="C50" s="38"/>
      <c r="D50" s="38">
        <v>35.009</v>
      </c>
    </row>
    <row r="51" spans="2:4" x14ac:dyDescent="0.2">
      <c r="B51" s="38">
        <v>11.806999999999999</v>
      </c>
      <c r="C51" s="38">
        <v>50.055</v>
      </c>
      <c r="D51" s="38">
        <v>13.131</v>
      </c>
    </row>
    <row r="52" spans="2:4" x14ac:dyDescent="0.2">
      <c r="B52" s="38">
        <v>6.9760000000000026</v>
      </c>
      <c r="C52" s="38">
        <v>44</v>
      </c>
      <c r="D52" s="38">
        <v>28.938999999999997</v>
      </c>
    </row>
    <row r="53" spans="2:4" x14ac:dyDescent="0.2">
      <c r="B53" s="38"/>
      <c r="C53" s="38">
        <v>17.515999999999998</v>
      </c>
      <c r="D53" s="38">
        <v>11.3</v>
      </c>
    </row>
    <row r="54" spans="2:4" x14ac:dyDescent="0.2">
      <c r="B54" s="38">
        <v>5.044000000000004</v>
      </c>
      <c r="C54" s="38">
        <v>29.858999999999995</v>
      </c>
      <c r="D54" s="38">
        <v>23.744000000000003</v>
      </c>
    </row>
    <row r="55" spans="2:4" x14ac:dyDescent="0.2">
      <c r="B55" s="38">
        <v>6.1000000000000014</v>
      </c>
      <c r="C55" s="38">
        <v>62.915999999999997</v>
      </c>
      <c r="D55" s="38">
        <v>12.908000000000001</v>
      </c>
    </row>
    <row r="56" spans="2:4" x14ac:dyDescent="0.2">
      <c r="B56" s="38">
        <v>7.9180000000000064</v>
      </c>
      <c r="C56" s="38">
        <v>31.213999999999999</v>
      </c>
      <c r="D56" s="38">
        <v>21.739000000000001</v>
      </c>
    </row>
    <row r="57" spans="2:4" x14ac:dyDescent="0.2">
      <c r="B57" s="38">
        <v>17.491</v>
      </c>
      <c r="C57" s="38">
        <v>35.064999999999998</v>
      </c>
      <c r="D57" s="38">
        <v>24.581</v>
      </c>
    </row>
    <row r="58" spans="2:4" x14ac:dyDescent="0.2">
      <c r="B58" s="38">
        <v>7.9120000000000061</v>
      </c>
      <c r="C58" s="38">
        <v>14.109</v>
      </c>
      <c r="D58" s="38">
        <v>10.361999999999998</v>
      </c>
    </row>
    <row r="59" spans="2:4" x14ac:dyDescent="0.2">
      <c r="B59" s="38">
        <v>0</v>
      </c>
      <c r="C59" s="38">
        <v>31.134</v>
      </c>
      <c r="D59" s="38"/>
    </row>
    <row r="60" spans="2:4" x14ac:dyDescent="0.2">
      <c r="B60" s="38">
        <v>4.0900000000000034</v>
      </c>
      <c r="C60" s="38">
        <v>35.43</v>
      </c>
      <c r="D60" s="38">
        <v>25.376999999999995</v>
      </c>
    </row>
    <row r="61" spans="2:4" x14ac:dyDescent="0.2">
      <c r="B61" s="38">
        <v>1.8810000000000002</v>
      </c>
      <c r="C61" s="38"/>
      <c r="D61" s="38">
        <v>39.268999999999991</v>
      </c>
    </row>
    <row r="62" spans="2:4" x14ac:dyDescent="0.2">
      <c r="B62" s="38">
        <v>29.446000000000005</v>
      </c>
      <c r="C62" s="38">
        <v>56.201000000000001</v>
      </c>
      <c r="D62" s="38">
        <v>42.012999999999991</v>
      </c>
    </row>
    <row r="63" spans="2:4" x14ac:dyDescent="0.2">
      <c r="B63" s="38">
        <v>6.2800000000000011</v>
      </c>
      <c r="C63" s="38">
        <v>22.481000000000002</v>
      </c>
      <c r="D63" s="38">
        <v>43.936999999999998</v>
      </c>
    </row>
    <row r="64" spans="2:4" x14ac:dyDescent="0.2">
      <c r="B64" s="38"/>
      <c r="C64" s="38">
        <v>48.646999999999998</v>
      </c>
      <c r="D64" s="38">
        <v>23.228999999999999</v>
      </c>
    </row>
    <row r="65" spans="1:4" x14ac:dyDescent="0.2">
      <c r="B65" s="38"/>
      <c r="C65" s="38">
        <v>23.700000000000003</v>
      </c>
      <c r="D65" s="38">
        <v>47.923000000000002</v>
      </c>
    </row>
    <row r="66" spans="1:4" x14ac:dyDescent="0.2">
      <c r="B66" s="38"/>
      <c r="C66" s="38">
        <v>34.777999999999999</v>
      </c>
      <c r="D66" s="38">
        <v>37.563999999999993</v>
      </c>
    </row>
    <row r="67" spans="1:4" x14ac:dyDescent="0.2">
      <c r="B67" s="38"/>
      <c r="C67" s="38">
        <v>67.387</v>
      </c>
      <c r="D67" s="38">
        <v>28.261999999999993</v>
      </c>
    </row>
    <row r="68" spans="1:4" x14ac:dyDescent="0.2">
      <c r="B68" s="38"/>
      <c r="C68" s="38">
        <v>6.1900000000000013</v>
      </c>
      <c r="D68" s="38">
        <v>17.531999999999996</v>
      </c>
    </row>
    <row r="69" spans="1:4" x14ac:dyDescent="0.2">
      <c r="B69" s="38"/>
      <c r="C69" s="38">
        <v>40.167000000000002</v>
      </c>
      <c r="D69" s="38">
        <v>6.0999999999999943</v>
      </c>
    </row>
    <row r="70" spans="1:4" x14ac:dyDescent="0.2">
      <c r="B70" s="38"/>
      <c r="C70" s="38">
        <v>34.067</v>
      </c>
      <c r="D70" s="38"/>
    </row>
    <row r="71" spans="1:4" x14ac:dyDescent="0.2">
      <c r="B71" s="38"/>
      <c r="C71" s="38">
        <v>9.1210000000000022</v>
      </c>
      <c r="D71" s="38"/>
    </row>
    <row r="72" spans="1:4" x14ac:dyDescent="0.2">
      <c r="B72" s="38"/>
      <c r="C72" s="38">
        <v>47.567</v>
      </c>
      <c r="D72" s="38"/>
    </row>
    <row r="74" spans="1:4" x14ac:dyDescent="0.2">
      <c r="A74" s="17" t="s">
        <v>205</v>
      </c>
      <c r="B74" s="19">
        <f>AVERAGE(B4:B72)</f>
        <v>13.263500000000002</v>
      </c>
      <c r="C74" s="19">
        <f t="shared" ref="C74:D74" si="0">AVERAGE(C4:C72)</f>
        <v>37.334515624999995</v>
      </c>
      <c r="D74" s="19">
        <f t="shared" si="0"/>
        <v>29.555083333333332</v>
      </c>
    </row>
    <row r="75" spans="1:4" x14ac:dyDescent="0.2">
      <c r="A75" s="18" t="s">
        <v>206</v>
      </c>
      <c r="B75" s="20">
        <f>STDEV(B4:B72)</f>
        <v>13.631753701626877</v>
      </c>
      <c r="C75" s="20">
        <f t="shared" ref="C75:D75" si="1">STDEV(C4:C72)</f>
        <v>18.626205678237465</v>
      </c>
      <c r="D75" s="20">
        <f t="shared" si="1"/>
        <v>18.190410310493949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E3810-EF79-A448-B583-C46BC392BC1D}">
  <dimension ref="A2:K25"/>
  <sheetViews>
    <sheetView workbookViewId="0">
      <selection sqref="A1:XFD1048576"/>
    </sheetView>
  </sheetViews>
  <sheetFormatPr baseColWidth="10" defaultColWidth="11" defaultRowHeight="16" x14ac:dyDescent="0.2"/>
  <cols>
    <col min="1" max="16384" width="11" style="9"/>
  </cols>
  <sheetData>
    <row r="2" spans="1:11" x14ac:dyDescent="0.2">
      <c r="A2" s="9" t="s">
        <v>126</v>
      </c>
    </row>
    <row r="3" spans="1:11" ht="17" x14ac:dyDescent="0.2">
      <c r="B3" s="31" t="s">
        <v>127</v>
      </c>
      <c r="C3" s="31"/>
      <c r="D3" s="31"/>
      <c r="E3" s="31"/>
      <c r="F3" s="31"/>
      <c r="G3" s="31"/>
      <c r="H3" s="31"/>
      <c r="I3" s="31"/>
      <c r="J3" s="31"/>
      <c r="K3" s="39"/>
    </row>
    <row r="4" spans="1:11" x14ac:dyDescent="0.2">
      <c r="A4" s="9" t="s">
        <v>128</v>
      </c>
      <c r="B4" s="40">
        <v>8</v>
      </c>
      <c r="C4" s="40">
        <v>13</v>
      </c>
      <c r="D4" s="41">
        <v>8</v>
      </c>
      <c r="E4" s="41">
        <v>9</v>
      </c>
      <c r="F4" s="41">
        <v>8</v>
      </c>
      <c r="J4" s="9">
        <f>SUM(B4:I4)</f>
        <v>46</v>
      </c>
      <c r="K4" s="38">
        <f>J4/J8*100</f>
        <v>83.636363636363626</v>
      </c>
    </row>
    <row r="5" spans="1:11" x14ac:dyDescent="0.2">
      <c r="A5" s="9" t="s">
        <v>129</v>
      </c>
      <c r="B5" s="40">
        <v>1</v>
      </c>
      <c r="C5" s="40">
        <v>0</v>
      </c>
      <c r="D5" s="41">
        <v>1</v>
      </c>
      <c r="E5" s="41">
        <v>1</v>
      </c>
      <c r="F5" s="41">
        <v>2</v>
      </c>
      <c r="J5" s="9">
        <f>SUM(B5:I5)</f>
        <v>5</v>
      </c>
      <c r="K5" s="38">
        <f>J5/J8*100</f>
        <v>9.0909090909090917</v>
      </c>
    </row>
    <row r="6" spans="1:11" x14ac:dyDescent="0.2">
      <c r="A6" s="9" t="s">
        <v>130</v>
      </c>
      <c r="B6" s="40">
        <v>2</v>
      </c>
      <c r="C6" s="40">
        <v>0</v>
      </c>
      <c r="D6" s="41">
        <v>0</v>
      </c>
      <c r="E6" s="41">
        <v>1</v>
      </c>
      <c r="F6" s="41">
        <v>0</v>
      </c>
      <c r="J6" s="9">
        <f>SUM(B6:I6)</f>
        <v>3</v>
      </c>
      <c r="K6" s="38">
        <f>J6/J8*100</f>
        <v>5.4545454545454541</v>
      </c>
    </row>
    <row r="7" spans="1:11" x14ac:dyDescent="0.2">
      <c r="A7" s="9" t="s">
        <v>131</v>
      </c>
      <c r="B7" s="40">
        <v>0</v>
      </c>
      <c r="C7" s="40">
        <v>0</v>
      </c>
      <c r="D7" s="41">
        <v>1</v>
      </c>
      <c r="E7" s="41">
        <v>0</v>
      </c>
      <c r="F7" s="41">
        <v>0</v>
      </c>
      <c r="J7" s="9">
        <f>SUM(B7:I7)</f>
        <v>1</v>
      </c>
      <c r="K7" s="38">
        <f>J7/J8*100</f>
        <v>1.8181818181818181</v>
      </c>
    </row>
    <row r="8" spans="1:11" x14ac:dyDescent="0.2">
      <c r="J8" s="9">
        <f>SUM(J4:J7)</f>
        <v>55</v>
      </c>
      <c r="K8" s="38"/>
    </row>
    <row r="9" spans="1:11" x14ac:dyDescent="0.2">
      <c r="K9" s="38"/>
    </row>
    <row r="10" spans="1:11" x14ac:dyDescent="0.2">
      <c r="B10" s="9" t="s">
        <v>124</v>
      </c>
      <c r="K10" s="38"/>
    </row>
    <row r="11" spans="1:11" x14ac:dyDescent="0.2">
      <c r="A11" s="9" t="s">
        <v>128</v>
      </c>
      <c r="B11" s="40">
        <v>5</v>
      </c>
      <c r="C11" s="40">
        <v>3</v>
      </c>
      <c r="D11" s="40">
        <v>1</v>
      </c>
      <c r="E11" s="41">
        <v>4</v>
      </c>
      <c r="F11" s="41">
        <v>1</v>
      </c>
      <c r="G11" s="41">
        <v>2</v>
      </c>
      <c r="J11" s="9">
        <f>SUM(B11:I11)</f>
        <v>16</v>
      </c>
      <c r="K11" s="38">
        <f>J11/J15*100</f>
        <v>25</v>
      </c>
    </row>
    <row r="12" spans="1:11" x14ac:dyDescent="0.2">
      <c r="A12" s="9" t="s">
        <v>129</v>
      </c>
      <c r="B12" s="40">
        <v>3</v>
      </c>
      <c r="C12" s="40">
        <v>6</v>
      </c>
      <c r="D12" s="40">
        <v>1</v>
      </c>
      <c r="E12" s="41">
        <v>2</v>
      </c>
      <c r="F12" s="41">
        <v>4</v>
      </c>
      <c r="G12" s="41">
        <v>2</v>
      </c>
      <c r="J12" s="9">
        <f>SUM(B12:I12)</f>
        <v>18</v>
      </c>
      <c r="K12" s="38">
        <f>J12/J15*100</f>
        <v>28.125</v>
      </c>
    </row>
    <row r="13" spans="1:11" x14ac:dyDescent="0.2">
      <c r="A13" s="9" t="s">
        <v>130</v>
      </c>
      <c r="B13" s="40">
        <v>3</v>
      </c>
      <c r="C13" s="40">
        <v>1</v>
      </c>
      <c r="D13" s="40">
        <v>7</v>
      </c>
      <c r="E13" s="41">
        <v>4</v>
      </c>
      <c r="F13" s="41">
        <v>4</v>
      </c>
      <c r="G13" s="41">
        <v>5</v>
      </c>
      <c r="J13" s="9">
        <f>SUM(B13:I13)</f>
        <v>24</v>
      </c>
      <c r="K13" s="38">
        <f>J13/J15*100</f>
        <v>37.5</v>
      </c>
    </row>
    <row r="14" spans="1:11" x14ac:dyDescent="0.2">
      <c r="A14" s="9" t="s">
        <v>131</v>
      </c>
      <c r="B14" s="40">
        <v>0</v>
      </c>
      <c r="C14" s="40">
        <v>0</v>
      </c>
      <c r="D14" s="40">
        <v>3</v>
      </c>
      <c r="E14" s="41">
        <v>0</v>
      </c>
      <c r="F14" s="41">
        <v>1</v>
      </c>
      <c r="G14" s="41">
        <v>2</v>
      </c>
      <c r="J14" s="9">
        <f>SUM(B14:I14)</f>
        <v>6</v>
      </c>
      <c r="K14" s="38">
        <f>J14/J15*100</f>
        <v>9.375</v>
      </c>
    </row>
    <row r="15" spans="1:11" x14ac:dyDescent="0.2">
      <c r="J15" s="9">
        <f>SUM(J11:J14)</f>
        <v>64</v>
      </c>
      <c r="K15" s="38"/>
    </row>
    <row r="16" spans="1:11" x14ac:dyDescent="0.2">
      <c r="K16" s="38"/>
    </row>
    <row r="17" spans="1:11" x14ac:dyDescent="0.2">
      <c r="B17" s="9" t="s">
        <v>125</v>
      </c>
      <c r="K17" s="38"/>
    </row>
    <row r="18" spans="1:11" x14ac:dyDescent="0.2">
      <c r="A18" s="9" t="s">
        <v>128</v>
      </c>
      <c r="B18" s="40">
        <v>0</v>
      </c>
      <c r="C18" s="40">
        <v>7</v>
      </c>
      <c r="D18" s="40">
        <v>3</v>
      </c>
      <c r="E18" s="41">
        <v>4</v>
      </c>
      <c r="F18" s="41">
        <v>5</v>
      </c>
      <c r="G18" s="41">
        <v>1</v>
      </c>
      <c r="J18" s="9">
        <f>SUM(B18:I18)</f>
        <v>20</v>
      </c>
      <c r="K18" s="38">
        <f>J18/J22*100</f>
        <v>33.333333333333329</v>
      </c>
    </row>
    <row r="19" spans="1:11" x14ac:dyDescent="0.2">
      <c r="A19" s="9" t="s">
        <v>129</v>
      </c>
      <c r="B19" s="40">
        <v>5</v>
      </c>
      <c r="C19" s="40">
        <v>3</v>
      </c>
      <c r="D19" s="40">
        <v>5</v>
      </c>
      <c r="E19" s="41">
        <v>4</v>
      </c>
      <c r="F19" s="41">
        <v>4</v>
      </c>
      <c r="G19" s="41">
        <v>4</v>
      </c>
      <c r="J19" s="9">
        <f>SUM(B19:I19)</f>
        <v>25</v>
      </c>
      <c r="K19" s="38">
        <f>J19/J22*100</f>
        <v>41.666666666666671</v>
      </c>
    </row>
    <row r="20" spans="1:11" x14ac:dyDescent="0.2">
      <c r="A20" s="9" t="s">
        <v>130</v>
      </c>
      <c r="B20" s="40">
        <v>2</v>
      </c>
      <c r="C20" s="40">
        <v>0</v>
      </c>
      <c r="D20" s="40">
        <v>1</v>
      </c>
      <c r="E20" s="41">
        <v>3</v>
      </c>
      <c r="F20" s="41">
        <v>1</v>
      </c>
      <c r="G20" s="41">
        <v>5</v>
      </c>
      <c r="J20" s="9">
        <f>SUM(B20:I20)</f>
        <v>12</v>
      </c>
      <c r="K20" s="38">
        <f>J20/J22*100</f>
        <v>20</v>
      </c>
    </row>
    <row r="21" spans="1:11" x14ac:dyDescent="0.2">
      <c r="A21" s="9" t="s">
        <v>131</v>
      </c>
      <c r="B21" s="40">
        <v>2</v>
      </c>
      <c r="C21" s="40">
        <v>0</v>
      </c>
      <c r="D21" s="40">
        <v>1</v>
      </c>
      <c r="E21" s="41">
        <v>0</v>
      </c>
      <c r="F21" s="41">
        <v>0</v>
      </c>
      <c r="G21" s="41">
        <v>0</v>
      </c>
      <c r="J21" s="9">
        <f>SUM(B21:I21)</f>
        <v>3</v>
      </c>
      <c r="K21" s="38">
        <f>J21/J22*100</f>
        <v>5</v>
      </c>
    </row>
    <row r="22" spans="1:11" x14ac:dyDescent="0.2">
      <c r="J22" s="9">
        <f>SUM(J18:J21)</f>
        <v>60</v>
      </c>
      <c r="K22" s="38"/>
    </row>
    <row r="24" spans="1:11" x14ac:dyDescent="0.2">
      <c r="B24" s="42" t="s">
        <v>132</v>
      </c>
    </row>
    <row r="25" spans="1:11" x14ac:dyDescent="0.2">
      <c r="B25" s="43" t="s">
        <v>133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B16393-DE15-8F43-99B0-3FC8F66E38DA}">
  <dimension ref="A1:O26"/>
  <sheetViews>
    <sheetView workbookViewId="0">
      <selection sqref="A1:XFD1048576"/>
    </sheetView>
  </sheetViews>
  <sheetFormatPr baseColWidth="10" defaultColWidth="11" defaultRowHeight="16" x14ac:dyDescent="0.2"/>
  <cols>
    <col min="1" max="5" width="11" style="9"/>
    <col min="6" max="6" width="0.83203125" style="9" customWidth="1"/>
    <col min="7" max="9" width="11" style="9"/>
    <col min="10" max="10" width="10.83203125" style="9" customWidth="1"/>
    <col min="11" max="11" width="0.83203125" style="9" customWidth="1"/>
    <col min="12" max="16384" width="11" style="9"/>
  </cols>
  <sheetData>
    <row r="1" spans="2:15" x14ac:dyDescent="0.2">
      <c r="B1" s="16" t="s">
        <v>134</v>
      </c>
      <c r="C1" s="16"/>
      <c r="D1" s="16"/>
      <c r="G1" s="16" t="s">
        <v>135</v>
      </c>
      <c r="H1" s="16"/>
      <c r="I1" s="16"/>
      <c r="L1" s="44" t="s">
        <v>136</v>
      </c>
      <c r="M1" s="44"/>
      <c r="N1" s="44"/>
    </row>
    <row r="2" spans="2:15" x14ac:dyDescent="0.2">
      <c r="B2" s="45" t="s">
        <v>137</v>
      </c>
      <c r="C2" s="45" t="s">
        <v>138</v>
      </c>
      <c r="D2" s="45" t="s">
        <v>139</v>
      </c>
      <c r="E2" s="45" t="s">
        <v>140</v>
      </c>
      <c r="G2" s="45" t="s">
        <v>137</v>
      </c>
      <c r="H2" s="45" t="s">
        <v>138</v>
      </c>
      <c r="I2" s="45" t="s">
        <v>139</v>
      </c>
      <c r="J2" s="45" t="s">
        <v>140</v>
      </c>
      <c r="L2" s="45" t="s">
        <v>137</v>
      </c>
      <c r="M2" s="45" t="s">
        <v>138</v>
      </c>
      <c r="N2" s="45" t="s">
        <v>139</v>
      </c>
      <c r="O2" s="45" t="s">
        <v>140</v>
      </c>
    </row>
    <row r="3" spans="2:15" x14ac:dyDescent="0.2">
      <c r="B3" s="9">
        <v>165</v>
      </c>
      <c r="C3" s="9">
        <v>175</v>
      </c>
      <c r="D3" s="9">
        <v>135</v>
      </c>
      <c r="E3" s="38">
        <f>D3/B3*100</f>
        <v>81.818181818181827</v>
      </c>
      <c r="G3" s="9">
        <v>192</v>
      </c>
      <c r="H3" s="9">
        <v>166</v>
      </c>
      <c r="I3" s="9">
        <v>328.5</v>
      </c>
      <c r="J3" s="38">
        <f>I3/G3*100</f>
        <v>171.09375</v>
      </c>
      <c r="L3" s="9">
        <v>214</v>
      </c>
      <c r="M3" s="9">
        <v>190</v>
      </c>
      <c r="N3" s="9">
        <v>206.5</v>
      </c>
      <c r="O3" s="38">
        <f>N3/L3*100</f>
        <v>96.495327102803742</v>
      </c>
    </row>
    <row r="4" spans="2:15" x14ac:dyDescent="0.2">
      <c r="B4" s="9">
        <v>171</v>
      </c>
      <c r="C4" s="9">
        <v>146</v>
      </c>
      <c r="D4" s="9">
        <v>162</v>
      </c>
      <c r="E4" s="38">
        <f t="shared" ref="E4:E15" si="0">D4/B4*100</f>
        <v>94.73684210526315</v>
      </c>
      <c r="G4" s="9">
        <v>170</v>
      </c>
      <c r="H4" s="9">
        <v>191</v>
      </c>
      <c r="I4" s="9">
        <v>210</v>
      </c>
      <c r="J4" s="38">
        <f t="shared" ref="J4:J12" si="1">I4/G4*100</f>
        <v>123.52941176470588</v>
      </c>
      <c r="L4" s="9">
        <v>260</v>
      </c>
      <c r="M4" s="9">
        <v>197</v>
      </c>
      <c r="N4" s="9">
        <v>217</v>
      </c>
      <c r="O4" s="38">
        <f t="shared" ref="O4:O10" si="2">N4/L4*100</f>
        <v>83.461538461538467</v>
      </c>
    </row>
    <row r="5" spans="2:15" x14ac:dyDescent="0.2">
      <c r="B5" s="9">
        <v>169</v>
      </c>
      <c r="C5" s="9">
        <v>166</v>
      </c>
      <c r="D5" s="9">
        <v>190</v>
      </c>
      <c r="E5" s="38">
        <f t="shared" si="0"/>
        <v>112.42603550295857</v>
      </c>
      <c r="G5" s="9">
        <v>217</v>
      </c>
      <c r="H5" s="9">
        <v>185</v>
      </c>
      <c r="I5" s="9">
        <v>224.5</v>
      </c>
      <c r="J5" s="38">
        <f t="shared" si="1"/>
        <v>103.45622119815667</v>
      </c>
      <c r="L5" s="9">
        <v>260</v>
      </c>
      <c r="M5" s="9">
        <v>225</v>
      </c>
      <c r="N5" s="9">
        <v>241</v>
      </c>
      <c r="O5" s="38">
        <f t="shared" si="2"/>
        <v>92.692307692307693</v>
      </c>
    </row>
    <row r="6" spans="2:15" x14ac:dyDescent="0.2">
      <c r="B6" s="9">
        <v>157</v>
      </c>
      <c r="C6" s="9">
        <v>167</v>
      </c>
      <c r="D6" s="9">
        <v>139</v>
      </c>
      <c r="E6" s="38">
        <f t="shared" si="0"/>
        <v>88.535031847133766</v>
      </c>
      <c r="G6" s="9">
        <v>237</v>
      </c>
      <c r="H6" s="9">
        <v>198</v>
      </c>
      <c r="I6" s="9">
        <v>227</v>
      </c>
      <c r="J6" s="38">
        <f t="shared" si="1"/>
        <v>95.780590717299575</v>
      </c>
      <c r="L6" s="9">
        <v>224</v>
      </c>
      <c r="M6" s="9">
        <v>236</v>
      </c>
      <c r="N6" s="9">
        <v>212</v>
      </c>
      <c r="O6" s="38">
        <f t="shared" si="2"/>
        <v>94.642857142857139</v>
      </c>
    </row>
    <row r="7" spans="2:15" x14ac:dyDescent="0.2">
      <c r="B7" s="9">
        <v>149</v>
      </c>
      <c r="C7" s="9">
        <v>171</v>
      </c>
      <c r="D7" s="9">
        <v>129</v>
      </c>
      <c r="E7" s="38">
        <f t="shared" si="0"/>
        <v>86.577181208053688</v>
      </c>
      <c r="G7" s="9">
        <v>218</v>
      </c>
      <c r="H7" s="9">
        <v>214</v>
      </c>
      <c r="I7" s="9">
        <v>281</v>
      </c>
      <c r="J7" s="38">
        <f t="shared" si="1"/>
        <v>128.89908256880733</v>
      </c>
      <c r="L7" s="9">
        <v>183</v>
      </c>
      <c r="M7" s="9">
        <v>198</v>
      </c>
      <c r="N7" s="9">
        <v>133</v>
      </c>
      <c r="O7" s="38">
        <f t="shared" si="2"/>
        <v>72.677595628415304</v>
      </c>
    </row>
    <row r="8" spans="2:15" x14ac:dyDescent="0.2">
      <c r="B8" s="9">
        <v>158</v>
      </c>
      <c r="C8" s="9">
        <v>208</v>
      </c>
      <c r="D8" s="9">
        <v>140</v>
      </c>
      <c r="E8" s="38">
        <f t="shared" si="0"/>
        <v>88.60759493670885</v>
      </c>
      <c r="G8" s="9">
        <v>270</v>
      </c>
      <c r="H8" s="9">
        <v>178</v>
      </c>
      <c r="I8" s="9">
        <v>213</v>
      </c>
      <c r="J8" s="38">
        <f t="shared" si="1"/>
        <v>78.888888888888886</v>
      </c>
      <c r="L8" s="9">
        <v>161</v>
      </c>
      <c r="M8" s="9">
        <v>182</v>
      </c>
      <c r="N8" s="9">
        <v>206</v>
      </c>
      <c r="O8" s="38">
        <f t="shared" si="2"/>
        <v>127.95031055900621</v>
      </c>
    </row>
    <row r="9" spans="2:15" x14ac:dyDescent="0.2">
      <c r="B9" s="9">
        <v>139</v>
      </c>
      <c r="C9" s="9">
        <v>135</v>
      </c>
      <c r="D9" s="9">
        <v>128</v>
      </c>
      <c r="E9" s="38">
        <f t="shared" si="0"/>
        <v>92.086330935251809</v>
      </c>
      <c r="G9" s="9">
        <v>221</v>
      </c>
      <c r="H9" s="9">
        <v>222</v>
      </c>
      <c r="I9" s="9">
        <v>198</v>
      </c>
      <c r="J9" s="38">
        <f t="shared" si="1"/>
        <v>89.592760180995484</v>
      </c>
      <c r="L9" s="9">
        <v>264</v>
      </c>
      <c r="M9" s="9">
        <v>208</v>
      </c>
      <c r="N9" s="9">
        <v>179</v>
      </c>
      <c r="O9" s="38">
        <f t="shared" si="2"/>
        <v>67.803030303030297</v>
      </c>
    </row>
    <row r="10" spans="2:15" x14ac:dyDescent="0.2">
      <c r="B10" s="9">
        <v>236</v>
      </c>
      <c r="C10" s="9">
        <v>177</v>
      </c>
      <c r="D10" s="9">
        <v>244</v>
      </c>
      <c r="E10" s="38">
        <f t="shared" si="0"/>
        <v>103.38983050847457</v>
      </c>
      <c r="G10" s="9">
        <v>222</v>
      </c>
      <c r="H10" s="9">
        <v>201</v>
      </c>
      <c r="I10" s="9">
        <v>227</v>
      </c>
      <c r="J10" s="38">
        <f t="shared" si="1"/>
        <v>102.25225225225225</v>
      </c>
      <c r="L10" s="9">
        <v>227</v>
      </c>
      <c r="M10" s="9">
        <v>221</v>
      </c>
      <c r="N10" s="9">
        <v>215</v>
      </c>
      <c r="O10" s="38">
        <f t="shared" si="2"/>
        <v>94.713656387665196</v>
      </c>
    </row>
    <row r="11" spans="2:15" x14ac:dyDescent="0.2">
      <c r="B11" s="9">
        <v>162</v>
      </c>
      <c r="C11" s="9">
        <v>231</v>
      </c>
      <c r="D11" s="9">
        <v>164</v>
      </c>
      <c r="E11" s="38">
        <f t="shared" si="0"/>
        <v>101.23456790123457</v>
      </c>
      <c r="G11" s="9">
        <v>225</v>
      </c>
      <c r="H11" s="9">
        <v>196</v>
      </c>
      <c r="I11" s="9">
        <v>286</v>
      </c>
      <c r="J11" s="38">
        <f t="shared" si="1"/>
        <v>127.11111111111111</v>
      </c>
    </row>
    <row r="12" spans="2:15" x14ac:dyDescent="0.2">
      <c r="B12" s="9">
        <v>179</v>
      </c>
      <c r="C12" s="9">
        <v>149</v>
      </c>
      <c r="D12" s="9">
        <v>150</v>
      </c>
      <c r="E12" s="38">
        <f t="shared" si="0"/>
        <v>83.798882681564251</v>
      </c>
      <c r="G12" s="9">
        <v>206</v>
      </c>
      <c r="H12" s="9">
        <v>179</v>
      </c>
      <c r="I12" s="9">
        <v>203</v>
      </c>
      <c r="J12" s="38">
        <f t="shared" si="1"/>
        <v>98.543689320388353</v>
      </c>
    </row>
    <row r="13" spans="2:15" x14ac:dyDescent="0.2">
      <c r="B13" s="9">
        <v>159</v>
      </c>
      <c r="C13" s="9">
        <v>160</v>
      </c>
      <c r="D13" s="9">
        <v>159</v>
      </c>
      <c r="E13" s="38">
        <f t="shared" si="0"/>
        <v>100</v>
      </c>
    </row>
    <row r="14" spans="2:15" x14ac:dyDescent="0.2">
      <c r="B14" s="9">
        <v>159</v>
      </c>
      <c r="C14" s="9">
        <v>155</v>
      </c>
      <c r="D14" s="9">
        <v>148</v>
      </c>
      <c r="E14" s="38">
        <f t="shared" si="0"/>
        <v>93.081761006289312</v>
      </c>
    </row>
    <row r="15" spans="2:15" x14ac:dyDescent="0.2">
      <c r="B15" s="9">
        <v>157</v>
      </c>
      <c r="C15" s="9">
        <v>157</v>
      </c>
      <c r="D15" s="9">
        <v>167</v>
      </c>
      <c r="E15" s="38">
        <f t="shared" si="0"/>
        <v>106.36942675159236</v>
      </c>
    </row>
    <row r="18" spans="1:15" x14ac:dyDescent="0.2">
      <c r="A18" s="17" t="s">
        <v>205</v>
      </c>
      <c r="B18" s="19">
        <f>AVERAGE(B3:B15)</f>
        <v>166.15384615384616</v>
      </c>
      <c r="C18" s="19">
        <f t="shared" ref="C18:D18" si="3">AVERAGE(C3:C15)</f>
        <v>169</v>
      </c>
      <c r="D18" s="19">
        <f t="shared" si="3"/>
        <v>158.07692307692307</v>
      </c>
      <c r="E18" s="19">
        <f>AVERAGE(E3:E15)</f>
        <v>94.820128246362046</v>
      </c>
      <c r="G18" s="19">
        <f>AVERAGE(G3:G15)</f>
        <v>217.8</v>
      </c>
      <c r="H18" s="19">
        <f t="shared" ref="H18:I18" si="4">AVERAGE(H3:H15)</f>
        <v>193</v>
      </c>
      <c r="I18" s="19">
        <f t="shared" si="4"/>
        <v>239.8</v>
      </c>
      <c r="J18" s="19">
        <f>AVERAGE(J3:J15)</f>
        <v>111.91477580026053</v>
      </c>
      <c r="L18" s="19">
        <f>AVERAGE(L3:L15)</f>
        <v>224.125</v>
      </c>
      <c r="M18" s="19">
        <f t="shared" ref="M18:N18" si="5">AVERAGE(M3:M15)</f>
        <v>207.125</v>
      </c>
      <c r="N18" s="19">
        <f t="shared" si="5"/>
        <v>201.1875</v>
      </c>
      <c r="O18" s="19">
        <f>AVERAGE(O3:O15)</f>
        <v>91.304577909702999</v>
      </c>
    </row>
    <row r="19" spans="1:15" x14ac:dyDescent="0.2">
      <c r="A19" s="18" t="s">
        <v>206</v>
      </c>
      <c r="B19" s="20">
        <f>STDEV(B3:B15)</f>
        <v>23.20505029027861</v>
      </c>
      <c r="C19" s="20">
        <f t="shared" ref="C19:E19" si="6">STDEV(C3:C15)</f>
        <v>25.800516790689805</v>
      </c>
      <c r="D19" s="20">
        <f t="shared" si="6"/>
        <v>31.18883758243626</v>
      </c>
      <c r="E19" s="20">
        <f t="shared" si="6"/>
        <v>9.2728785672313432</v>
      </c>
      <c r="G19" s="20">
        <f>STDEV(G3:G15)</f>
        <v>26.380969571938653</v>
      </c>
      <c r="H19" s="20">
        <f t="shared" ref="H19:J19" si="7">STDEV(H3:H15)</f>
        <v>16.990193249832878</v>
      </c>
      <c r="I19" s="20">
        <f t="shared" si="7"/>
        <v>43.421832706088686</v>
      </c>
      <c r="J19" s="20">
        <f t="shared" si="7"/>
        <v>26.561118232846887</v>
      </c>
      <c r="L19" s="20">
        <f>STDEV(L3:L15)</f>
        <v>37.703495480241237</v>
      </c>
      <c r="M19" s="20">
        <f t="shared" ref="M19:O19" si="8">STDEV(M3:M15)</f>
        <v>18.734517417247311</v>
      </c>
      <c r="N19" s="20">
        <f t="shared" si="8"/>
        <v>32.372759161280733</v>
      </c>
      <c r="O19" s="20">
        <f t="shared" si="8"/>
        <v>18.343335860541533</v>
      </c>
    </row>
    <row r="24" spans="1:15" x14ac:dyDescent="0.2">
      <c r="A24" s="46"/>
      <c r="B24" s="47"/>
    </row>
    <row r="25" spans="1:15" x14ac:dyDescent="0.2">
      <c r="A25" s="48"/>
    </row>
    <row r="26" spans="1:15" x14ac:dyDescent="0.2">
      <c r="A26" s="49"/>
    </row>
  </sheetData>
  <mergeCells count="3">
    <mergeCell ref="B1:D1"/>
    <mergeCell ref="G1:I1"/>
    <mergeCell ref="L1:N1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979C3F-FD23-9D44-9042-4D6BA55E7F8B}">
  <dimension ref="A2:D22"/>
  <sheetViews>
    <sheetView workbookViewId="0">
      <selection sqref="A1:XFD1048576"/>
    </sheetView>
  </sheetViews>
  <sheetFormatPr baseColWidth="10" defaultColWidth="11" defaultRowHeight="16" x14ac:dyDescent="0.2"/>
  <cols>
    <col min="1" max="1" width="11" style="9"/>
    <col min="2" max="2" width="12.83203125" style="9" customWidth="1"/>
    <col min="3" max="16384" width="11" style="9"/>
  </cols>
  <sheetData>
    <row r="2" spans="2:4" s="32" customFormat="1" ht="34" x14ac:dyDescent="0.2">
      <c r="B2" s="32" t="s">
        <v>141</v>
      </c>
      <c r="C2" s="32" t="s">
        <v>142</v>
      </c>
      <c r="D2" s="32" t="s">
        <v>143</v>
      </c>
    </row>
    <row r="3" spans="2:4" x14ac:dyDescent="0.2">
      <c r="B3" s="50">
        <v>7.9681274900398405E-2</v>
      </c>
      <c r="C3" s="50">
        <v>0.41450777202072536</v>
      </c>
      <c r="D3" s="50">
        <v>1.0050251256281406</v>
      </c>
    </row>
    <row r="4" spans="2:4" x14ac:dyDescent="0.2">
      <c r="B4" s="50">
        <v>7.3773515308004425E-2</v>
      </c>
      <c r="C4" s="50">
        <v>0.65645514223194745</v>
      </c>
      <c r="D4" s="50">
        <v>0.68965517241379315</v>
      </c>
    </row>
    <row r="5" spans="2:4" x14ac:dyDescent="0.2">
      <c r="B5" s="50">
        <v>5.7175528873642079E-2</v>
      </c>
      <c r="C5" s="50">
        <v>1.3671875</v>
      </c>
      <c r="D5" s="50">
        <v>0.23310023310023309</v>
      </c>
    </row>
    <row r="6" spans="2:4" x14ac:dyDescent="0.2">
      <c r="B6" s="50">
        <v>0.24875621890547264</v>
      </c>
      <c r="C6" s="50">
        <v>1.5957446808510638</v>
      </c>
      <c r="D6" s="50">
        <v>0.46153846153846156</v>
      </c>
    </row>
    <row r="7" spans="2:4" x14ac:dyDescent="0.2">
      <c r="B7" s="50">
        <v>2.918855808523059E-2</v>
      </c>
      <c r="C7" s="50">
        <v>1.740506329113924</v>
      </c>
      <c r="D7" s="50">
        <v>0.25641025641025639</v>
      </c>
    </row>
    <row r="8" spans="2:4" x14ac:dyDescent="0.2">
      <c r="B8" s="50">
        <v>9.6246390760346495E-2</v>
      </c>
      <c r="C8" s="50">
        <v>1.0118043844856661</v>
      </c>
      <c r="D8" s="50">
        <v>0.72115384615384615</v>
      </c>
    </row>
    <row r="9" spans="2:4" x14ac:dyDescent="0.2">
      <c r="B9" s="50">
        <v>0</v>
      </c>
      <c r="C9" s="50">
        <v>1.0869565217391304</v>
      </c>
      <c r="D9" s="50">
        <v>0.5617977528089888</v>
      </c>
    </row>
    <row r="10" spans="2:4" x14ac:dyDescent="0.2">
      <c r="B10" s="50">
        <v>5.5991041433370664E-2</v>
      </c>
      <c r="C10" s="50">
        <v>0.69930069930069927</v>
      </c>
      <c r="D10" s="50">
        <v>0.4793863854266539</v>
      </c>
    </row>
    <row r="11" spans="2:4" x14ac:dyDescent="0.2">
      <c r="B11" s="50">
        <v>0.19267822736030829</v>
      </c>
      <c r="C11" s="50">
        <v>1.6129032258064515</v>
      </c>
      <c r="D11" s="50"/>
    </row>
    <row r="12" spans="2:4" x14ac:dyDescent="0.2">
      <c r="B12" s="50">
        <v>8.6918730986527595E-2</v>
      </c>
      <c r="C12" s="50"/>
      <c r="D12" s="50"/>
    </row>
    <row r="13" spans="2:4" x14ac:dyDescent="0.2">
      <c r="B13" s="50">
        <v>0.20811654526534862</v>
      </c>
      <c r="C13" s="50"/>
      <c r="D13" s="50"/>
    </row>
    <row r="14" spans="2:4" x14ac:dyDescent="0.2">
      <c r="B14" s="50">
        <v>0.16273393002441008</v>
      </c>
      <c r="C14" s="50"/>
      <c r="D14" s="50"/>
    </row>
    <row r="15" spans="2:4" x14ac:dyDescent="0.2">
      <c r="B15" s="50">
        <v>0.20889286780065652</v>
      </c>
      <c r="C15" s="50"/>
      <c r="D15" s="50"/>
    </row>
    <row r="17" spans="1:4" x14ac:dyDescent="0.2">
      <c r="A17" s="17" t="s">
        <v>205</v>
      </c>
      <c r="B17" s="19">
        <f>AVERAGE(B3:B16)</f>
        <v>0.1153963715156705</v>
      </c>
      <c r="C17" s="19">
        <f t="shared" ref="C17:D17" si="0">AVERAGE(C3:C16)</f>
        <v>1.1317073617277345</v>
      </c>
      <c r="D17" s="19">
        <f t="shared" si="0"/>
        <v>0.55100840418504671</v>
      </c>
    </row>
    <row r="18" spans="1:4" x14ac:dyDescent="0.2">
      <c r="A18" s="18" t="s">
        <v>206</v>
      </c>
      <c r="B18" s="20">
        <f>STDEV(B3:B16)</f>
        <v>7.915664927622082E-2</v>
      </c>
      <c r="C18" s="20">
        <f t="shared" ref="C18:D18" si="1">STDEV(C3:C16)</f>
        <v>0.47651888450392249</v>
      </c>
      <c r="D18" s="20">
        <f t="shared" si="1"/>
        <v>0.25506532756467876</v>
      </c>
    </row>
    <row r="21" spans="1:4" x14ac:dyDescent="0.2">
      <c r="A21" s="49"/>
    </row>
    <row r="22" spans="1:4" x14ac:dyDescent="0.2">
      <c r="A22" s="51"/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35EA6F-CE2C-554E-B207-6D4A24DF996B}">
  <dimension ref="A1:D20"/>
  <sheetViews>
    <sheetView zoomScaleNormal="100" workbookViewId="0">
      <selection sqref="A1:XFD1048576"/>
    </sheetView>
  </sheetViews>
  <sheetFormatPr baseColWidth="10" defaultColWidth="11" defaultRowHeight="16" x14ac:dyDescent="0.2"/>
  <cols>
    <col min="1" max="16384" width="11" style="9"/>
  </cols>
  <sheetData>
    <row r="1" spans="2:4" s="31" customFormat="1" ht="34" x14ac:dyDescent="0.2">
      <c r="B1" s="31" t="s">
        <v>144</v>
      </c>
      <c r="C1" s="31" t="s">
        <v>145</v>
      </c>
      <c r="D1" s="31" t="s">
        <v>146</v>
      </c>
    </row>
    <row r="2" spans="2:4" x14ac:dyDescent="0.2">
      <c r="B2" s="22">
        <v>0.37301062420547509</v>
      </c>
      <c r="C2" s="22">
        <v>4.6776534962535546E-2</v>
      </c>
      <c r="D2" s="22">
        <v>0.10651660475226198</v>
      </c>
    </row>
    <row r="3" spans="2:4" x14ac:dyDescent="0.2">
      <c r="B3" s="22">
        <v>0.42542716421449278</v>
      </c>
      <c r="C3" s="22">
        <v>7.4392099834824671E-2</v>
      </c>
      <c r="D3" s="22">
        <v>0.11412996283877244</v>
      </c>
    </row>
    <row r="4" spans="2:4" x14ac:dyDescent="0.2">
      <c r="B4" s="22">
        <v>0.33490273568692608</v>
      </c>
      <c r="C4" s="22">
        <v>6.1007817334536904E-2</v>
      </c>
      <c r="D4" s="22">
        <v>0.25401093609767511</v>
      </c>
    </row>
    <row r="5" spans="2:4" x14ac:dyDescent="0.2">
      <c r="B5" s="22">
        <v>0.7184137411484447</v>
      </c>
      <c r="C5" s="22">
        <v>0.12304498473288052</v>
      </c>
      <c r="D5" s="22">
        <v>0.18424978927050528</v>
      </c>
    </row>
    <row r="6" spans="2:4" x14ac:dyDescent="0.2">
      <c r="B6" s="22">
        <v>0.51403373263746466</v>
      </c>
      <c r="C6" s="22">
        <v>0.11476139773783663</v>
      </c>
      <c r="D6" s="22">
        <v>0.1265048384036003</v>
      </c>
    </row>
    <row r="7" spans="2:4" x14ac:dyDescent="0.2">
      <c r="B7" s="22">
        <v>0.20720764627341642</v>
      </c>
      <c r="C7" s="22">
        <v>0.10898100494656474</v>
      </c>
      <c r="D7" s="22">
        <v>7.2793826212708218E-2</v>
      </c>
    </row>
    <row r="8" spans="2:4" x14ac:dyDescent="0.2">
      <c r="B8" s="22">
        <v>0.39875732369438055</v>
      </c>
      <c r="C8" s="22">
        <v>3.9166107120190585E-2</v>
      </c>
      <c r="D8" s="22">
        <v>6.00859923772325E-2</v>
      </c>
    </row>
    <row r="9" spans="2:4" x14ac:dyDescent="0.2">
      <c r="B9" s="22">
        <v>0.19224947908708859</v>
      </c>
      <c r="C9" s="22">
        <v>0.14260064491770053</v>
      </c>
      <c r="D9" s="22">
        <v>0.14888405485576714</v>
      </c>
    </row>
    <row r="10" spans="2:4" x14ac:dyDescent="0.2">
      <c r="B10" s="22">
        <v>0.41280115812242768</v>
      </c>
      <c r="C10" s="22">
        <v>0.14096947382536559</v>
      </c>
      <c r="D10" s="22">
        <v>4.8393152170607856E-2</v>
      </c>
    </row>
    <row r="11" spans="2:4" x14ac:dyDescent="0.2">
      <c r="B11" s="22">
        <v>0.38900288820756396</v>
      </c>
      <c r="C11" s="22">
        <v>0.17521794317369377</v>
      </c>
      <c r="D11" s="22">
        <v>0.10038271228831361</v>
      </c>
    </row>
    <row r="12" spans="2:4" x14ac:dyDescent="0.2">
      <c r="B12" s="22">
        <v>0.80270421635606815</v>
      </c>
      <c r="C12" s="22">
        <v>3.2907067710837484E-2</v>
      </c>
      <c r="D12" s="22"/>
    </row>
    <row r="13" spans="2:4" x14ac:dyDescent="0.2">
      <c r="B13" s="22">
        <v>0.43487123047359638</v>
      </c>
      <c r="C13" s="22">
        <v>9.812733605232439E-2</v>
      </c>
      <c r="D13" s="22"/>
    </row>
    <row r="14" spans="2:4" x14ac:dyDescent="0.2">
      <c r="B14" s="22">
        <v>0.4645935406009078</v>
      </c>
      <c r="C14" s="22"/>
      <c r="D14" s="22"/>
    </row>
    <row r="17" spans="1:4" x14ac:dyDescent="0.2">
      <c r="A17" s="17" t="s">
        <v>205</v>
      </c>
      <c r="B17" s="19">
        <f>AVERAGE(B2:B16)</f>
        <v>0.43599811390063475</v>
      </c>
      <c r="C17" s="19">
        <f t="shared" ref="C17:D17" si="0">AVERAGE(C2:C16)</f>
        <v>9.6496034362440961E-2</v>
      </c>
      <c r="D17" s="19">
        <f t="shared" si="0"/>
        <v>0.12159518692674443</v>
      </c>
    </row>
    <row r="18" spans="1:4" x14ac:dyDescent="0.2">
      <c r="A18" s="18" t="s">
        <v>206</v>
      </c>
      <c r="B18" s="20">
        <f>STDEV(B2:B16)</f>
        <v>0.17110716038263105</v>
      </c>
      <c r="C18" s="20">
        <f t="shared" ref="C18:D18" si="1">STDEV(C2:C16)</f>
        <v>4.5774119411734836E-2</v>
      </c>
      <c r="D18" s="20">
        <f t="shared" si="1"/>
        <v>6.1900341786255905E-2</v>
      </c>
    </row>
    <row r="20" spans="1:4" x14ac:dyDescent="0.2">
      <c r="A20" s="46"/>
      <c r="B20" s="47"/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DD4180-54F9-7840-AAEE-8B912B98B532}">
  <dimension ref="A2:C39"/>
  <sheetViews>
    <sheetView workbookViewId="0">
      <selection sqref="A1:XFD1048576"/>
    </sheetView>
  </sheetViews>
  <sheetFormatPr baseColWidth="10" defaultColWidth="11" defaultRowHeight="16" x14ac:dyDescent="0.2"/>
  <cols>
    <col min="1" max="16384" width="11" style="9"/>
  </cols>
  <sheetData>
    <row r="2" spans="1:3" s="31" customFormat="1" ht="34" x14ac:dyDescent="0.2">
      <c r="A2" s="52"/>
      <c r="B2" s="53" t="s">
        <v>148</v>
      </c>
      <c r="C2" s="53" t="s">
        <v>149</v>
      </c>
    </row>
    <row r="3" spans="1:3" x14ac:dyDescent="0.2">
      <c r="A3" s="26"/>
      <c r="B3" s="9">
        <v>38.146999999999998</v>
      </c>
      <c r="C3" s="9">
        <v>27.187000000000001</v>
      </c>
    </row>
    <row r="4" spans="1:3" x14ac:dyDescent="0.2">
      <c r="A4" s="26"/>
      <c r="B4" s="9">
        <v>33.927</v>
      </c>
      <c r="C4" s="9">
        <v>24.518000000000001</v>
      </c>
    </row>
    <row r="5" spans="1:3" x14ac:dyDescent="0.2">
      <c r="A5" s="26"/>
      <c r="B5" s="9">
        <v>46.186999999999998</v>
      </c>
      <c r="C5" s="9">
        <v>25.99</v>
      </c>
    </row>
    <row r="6" spans="1:3" x14ac:dyDescent="0.2">
      <c r="A6" s="26"/>
      <c r="B6" s="9">
        <v>41.435000000000002</v>
      </c>
      <c r="C6" s="9">
        <v>26.716000000000001</v>
      </c>
    </row>
    <row r="7" spans="1:3" x14ac:dyDescent="0.2">
      <c r="A7" s="26"/>
      <c r="B7" s="9">
        <v>20.71</v>
      </c>
      <c r="C7" s="9">
        <v>25.986000000000001</v>
      </c>
    </row>
    <row r="8" spans="1:3" x14ac:dyDescent="0.2">
      <c r="A8" s="26"/>
      <c r="B8" s="9">
        <v>23.289000000000001</v>
      </c>
      <c r="C8" s="9">
        <v>28.135000000000002</v>
      </c>
    </row>
    <row r="9" spans="1:3" x14ac:dyDescent="0.2">
      <c r="A9" s="26"/>
      <c r="B9" s="9">
        <v>25.32</v>
      </c>
      <c r="C9" s="9">
        <v>22.207000000000001</v>
      </c>
    </row>
    <row r="10" spans="1:3" x14ac:dyDescent="0.2">
      <c r="A10" s="26"/>
      <c r="B10" s="9">
        <v>24.477</v>
      </c>
      <c r="C10" s="9">
        <v>26.123000000000001</v>
      </c>
    </row>
    <row r="11" spans="1:3" x14ac:dyDescent="0.2">
      <c r="A11" s="26"/>
      <c r="B11" s="9">
        <v>39.658000000000001</v>
      </c>
      <c r="C11" s="9">
        <v>37.029000000000003</v>
      </c>
    </row>
    <row r="12" spans="1:3" x14ac:dyDescent="0.2">
      <c r="A12" s="26"/>
      <c r="B12" s="9">
        <v>28.405000000000001</v>
      </c>
    </row>
    <row r="13" spans="1:3" x14ac:dyDescent="0.2">
      <c r="A13" s="26"/>
      <c r="C13" s="9">
        <v>30.446999999999999</v>
      </c>
    </row>
    <row r="14" spans="1:3" x14ac:dyDescent="0.2">
      <c r="A14" s="26"/>
      <c r="B14" s="9">
        <v>30.782</v>
      </c>
      <c r="C14" s="9">
        <v>62.95</v>
      </c>
    </row>
    <row r="15" spans="1:3" x14ac:dyDescent="0.2">
      <c r="A15" s="26"/>
      <c r="B15" s="9">
        <v>36.816000000000003</v>
      </c>
      <c r="C15" s="9">
        <v>23.003</v>
      </c>
    </row>
    <row r="16" spans="1:3" x14ac:dyDescent="0.2">
      <c r="A16" s="26"/>
      <c r="B16" s="9">
        <v>27.248999999999999</v>
      </c>
      <c r="C16" s="9">
        <v>23.856000000000002</v>
      </c>
    </row>
    <row r="17" spans="1:3" x14ac:dyDescent="0.2">
      <c r="A17" s="26"/>
      <c r="B17" s="9">
        <v>9.1590000000000007</v>
      </c>
      <c r="C17" s="9">
        <v>32.363999999999997</v>
      </c>
    </row>
    <row r="18" spans="1:3" x14ac:dyDescent="0.2">
      <c r="A18" s="26"/>
      <c r="B18" s="9">
        <v>25.483000000000001</v>
      </c>
      <c r="C18" s="9">
        <v>15.199</v>
      </c>
    </row>
    <row r="19" spans="1:3" x14ac:dyDescent="0.2">
      <c r="A19" s="26"/>
      <c r="B19" s="9">
        <v>31.916</v>
      </c>
      <c r="C19" s="9">
        <v>23.201000000000001</v>
      </c>
    </row>
    <row r="20" spans="1:3" x14ac:dyDescent="0.2">
      <c r="A20" s="26"/>
      <c r="B20" s="9">
        <v>11.84</v>
      </c>
      <c r="C20" s="9">
        <v>21.992000000000001</v>
      </c>
    </row>
    <row r="21" spans="1:3" x14ac:dyDescent="0.2">
      <c r="A21" s="26"/>
      <c r="B21" s="9">
        <v>27.545000000000002</v>
      </c>
      <c r="C21" s="9">
        <v>15.893000000000001</v>
      </c>
    </row>
    <row r="22" spans="1:3" x14ac:dyDescent="0.2">
      <c r="A22" s="26"/>
      <c r="B22" s="9">
        <v>18.832000000000001</v>
      </c>
      <c r="C22" s="9">
        <v>24.213999999999999</v>
      </c>
    </row>
    <row r="23" spans="1:3" x14ac:dyDescent="0.2">
      <c r="A23" s="26"/>
      <c r="B23" s="9">
        <v>19.896000000000001</v>
      </c>
    </row>
    <row r="24" spans="1:3" x14ac:dyDescent="0.2">
      <c r="A24" s="26"/>
      <c r="C24" s="9">
        <v>19.475000000000001</v>
      </c>
    </row>
    <row r="25" spans="1:3" x14ac:dyDescent="0.2">
      <c r="A25" s="26"/>
      <c r="B25" s="9">
        <v>131.876</v>
      </c>
      <c r="C25" s="9">
        <v>16.216999999999999</v>
      </c>
    </row>
    <row r="26" spans="1:3" x14ac:dyDescent="0.2">
      <c r="A26" s="26"/>
      <c r="B26" s="9">
        <v>43.323999999999998</v>
      </c>
      <c r="C26" s="9">
        <v>19.187999999999999</v>
      </c>
    </row>
    <row r="27" spans="1:3" x14ac:dyDescent="0.2">
      <c r="A27" s="26"/>
      <c r="B27" s="9">
        <v>70.525999999999996</v>
      </c>
      <c r="C27" s="9">
        <v>23.219000000000001</v>
      </c>
    </row>
    <row r="28" spans="1:3" x14ac:dyDescent="0.2">
      <c r="A28" s="26"/>
      <c r="B28" s="9">
        <v>48.529000000000003</v>
      </c>
      <c r="C28" s="9">
        <v>18.041</v>
      </c>
    </row>
    <row r="29" spans="1:3" x14ac:dyDescent="0.2">
      <c r="A29" s="26"/>
      <c r="B29" s="9">
        <v>39.055</v>
      </c>
      <c r="C29" s="9">
        <v>13.484</v>
      </c>
    </row>
    <row r="30" spans="1:3" x14ac:dyDescent="0.2">
      <c r="A30" s="26"/>
      <c r="B30" s="9">
        <v>69.481999999999999</v>
      </c>
      <c r="C30" s="9">
        <v>18.916</v>
      </c>
    </row>
    <row r="31" spans="1:3" x14ac:dyDescent="0.2">
      <c r="A31" s="26"/>
      <c r="B31" s="9">
        <v>46.283000000000001</v>
      </c>
      <c r="C31" s="9">
        <v>16.003</v>
      </c>
    </row>
    <row r="32" spans="1:3" x14ac:dyDescent="0.2">
      <c r="A32" s="26"/>
      <c r="B32" s="9">
        <v>115.254</v>
      </c>
      <c r="C32" s="9">
        <v>22.945</v>
      </c>
    </row>
    <row r="33" spans="1:3" x14ac:dyDescent="0.2">
      <c r="A33" s="26"/>
      <c r="C33" s="9">
        <v>14.984</v>
      </c>
    </row>
    <row r="36" spans="1:3" x14ac:dyDescent="0.2">
      <c r="A36" s="17" t="s">
        <v>205</v>
      </c>
      <c r="B36" s="19">
        <f>AVERAGE(B3:B35)</f>
        <v>40.19292857142856</v>
      </c>
      <c r="C36" s="19">
        <f>AVERAGE(C3:C35)</f>
        <v>24.120068965517252</v>
      </c>
    </row>
    <row r="37" spans="1:3" x14ac:dyDescent="0.2">
      <c r="A37" s="18" t="s">
        <v>206</v>
      </c>
      <c r="B37" s="20">
        <f>STDEV(B3:B35)</f>
        <v>27.646496640862626</v>
      </c>
      <c r="C37" s="20">
        <f>STDEV(C3:C35)</f>
        <v>9.2976770752200952</v>
      </c>
    </row>
    <row r="39" spans="1:3" x14ac:dyDescent="0.2">
      <c r="A39" s="2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6F7CD-9B7D-0446-B7FD-02B4D7052F0C}">
  <dimension ref="A1:T40"/>
  <sheetViews>
    <sheetView workbookViewId="0">
      <selection activeCell="E25" sqref="E25"/>
    </sheetView>
  </sheetViews>
  <sheetFormatPr baseColWidth="10" defaultColWidth="11" defaultRowHeight="16" x14ac:dyDescent="0.2"/>
  <cols>
    <col min="1" max="1" width="11" style="9"/>
    <col min="2" max="2" width="12.5" style="9" customWidth="1"/>
    <col min="3" max="7" width="11" style="9"/>
    <col min="8" max="8" width="0.83203125" style="9" customWidth="1"/>
    <col min="9" max="9" width="12.5" style="9" customWidth="1"/>
    <col min="10" max="14" width="11" style="9"/>
    <col min="15" max="15" width="1" style="9" customWidth="1"/>
    <col min="16" max="16" width="12.1640625" style="9" customWidth="1"/>
    <col min="17" max="16384" width="11" style="9"/>
  </cols>
  <sheetData>
    <row r="1" spans="2:20" x14ac:dyDescent="0.2">
      <c r="B1" s="5" t="s">
        <v>0</v>
      </c>
      <c r="C1" s="5"/>
      <c r="D1" s="5"/>
      <c r="E1" s="5"/>
      <c r="F1" s="5"/>
      <c r="I1" s="5" t="s">
        <v>8</v>
      </c>
      <c r="J1" s="5"/>
      <c r="K1" s="5"/>
      <c r="L1" s="5"/>
      <c r="M1" s="5"/>
      <c r="P1" s="5" t="s">
        <v>8</v>
      </c>
      <c r="Q1" s="5"/>
      <c r="R1" s="5"/>
      <c r="S1" s="5"/>
      <c r="T1" s="5"/>
    </row>
    <row r="2" spans="2:20" x14ac:dyDescent="0.2"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I2" s="11" t="s">
        <v>1</v>
      </c>
      <c r="J2" s="11" t="s">
        <v>2</v>
      </c>
      <c r="K2" s="11" t="s">
        <v>3</v>
      </c>
      <c r="L2" s="11" t="s">
        <v>4</v>
      </c>
      <c r="M2" s="11" t="s">
        <v>5</v>
      </c>
      <c r="P2" s="11" t="s">
        <v>1</v>
      </c>
      <c r="Q2" s="11" t="s">
        <v>2</v>
      </c>
      <c r="R2" s="11" t="s">
        <v>3</v>
      </c>
      <c r="S2" s="11" t="s">
        <v>4</v>
      </c>
      <c r="T2" s="11" t="s">
        <v>5</v>
      </c>
    </row>
    <row r="3" spans="2:20" x14ac:dyDescent="0.2">
      <c r="B3" s="21">
        <v>3</v>
      </c>
      <c r="C3" s="8">
        <v>6.8</v>
      </c>
      <c r="D3" s="8">
        <v>3.5</v>
      </c>
      <c r="E3" s="8">
        <v>3.8</v>
      </c>
      <c r="F3" s="8">
        <v>3.2</v>
      </c>
      <c r="I3" s="21">
        <v>6.8</v>
      </c>
      <c r="J3" s="15">
        <v>7.1</v>
      </c>
      <c r="K3" s="15">
        <v>6.6</v>
      </c>
      <c r="L3" s="8">
        <v>7.7</v>
      </c>
      <c r="M3" s="8">
        <v>7.8</v>
      </c>
      <c r="P3" s="8">
        <v>9.9</v>
      </c>
      <c r="Q3" s="8">
        <v>13.7</v>
      </c>
      <c r="R3" s="8">
        <v>10.6</v>
      </c>
      <c r="S3" s="8">
        <v>13.6</v>
      </c>
      <c r="T3" s="8">
        <v>14</v>
      </c>
    </row>
    <row r="4" spans="2:20" x14ac:dyDescent="0.2">
      <c r="B4" s="8">
        <v>3.8</v>
      </c>
      <c r="C4" s="8">
        <v>5.6</v>
      </c>
      <c r="D4" s="8">
        <v>3.7</v>
      </c>
      <c r="E4" s="8">
        <v>2.9</v>
      </c>
      <c r="F4" s="8">
        <v>3.7</v>
      </c>
      <c r="I4" s="21">
        <v>9</v>
      </c>
      <c r="J4" s="15">
        <v>8.3000000000000007</v>
      </c>
      <c r="K4" s="15">
        <v>5.9</v>
      </c>
      <c r="L4" s="8">
        <v>8.1</v>
      </c>
      <c r="M4" s="8">
        <v>8.1999999999999993</v>
      </c>
      <c r="P4" s="8">
        <v>12.5</v>
      </c>
      <c r="Q4" s="8">
        <v>12.3</v>
      </c>
      <c r="R4" s="8">
        <v>10.6</v>
      </c>
      <c r="S4" s="8">
        <v>13.5</v>
      </c>
      <c r="T4" s="8">
        <v>9.9</v>
      </c>
    </row>
    <row r="5" spans="2:20" x14ac:dyDescent="0.2">
      <c r="B5" s="8">
        <v>3.8</v>
      </c>
      <c r="C5" s="8">
        <v>3.2</v>
      </c>
      <c r="D5" s="8">
        <v>3.3</v>
      </c>
      <c r="E5" s="8">
        <v>3.5</v>
      </c>
      <c r="F5" s="8">
        <v>3.6</v>
      </c>
      <c r="I5" s="21">
        <v>8.1999999999999993</v>
      </c>
      <c r="J5" s="15">
        <v>7.8</v>
      </c>
      <c r="K5" s="15">
        <v>7.3</v>
      </c>
      <c r="L5" s="8">
        <v>6.7</v>
      </c>
      <c r="M5" s="8">
        <v>8.9</v>
      </c>
      <c r="P5" s="8">
        <v>10.3</v>
      </c>
      <c r="Q5" s="8">
        <v>13.3</v>
      </c>
      <c r="R5" s="8">
        <v>10.1</v>
      </c>
      <c r="S5" s="8">
        <v>14.3</v>
      </c>
      <c r="T5" s="8">
        <v>13.8</v>
      </c>
    </row>
    <row r="6" spans="2:20" x14ac:dyDescent="0.2">
      <c r="B6" s="8">
        <v>3.2</v>
      </c>
      <c r="C6" s="8">
        <v>3.3</v>
      </c>
      <c r="D6" s="8">
        <v>3.6</v>
      </c>
      <c r="E6" s="8">
        <v>3.5</v>
      </c>
      <c r="F6" s="8">
        <v>6.8</v>
      </c>
      <c r="I6" s="21">
        <v>6.4</v>
      </c>
      <c r="J6" s="15">
        <v>8.1999999999999993</v>
      </c>
      <c r="K6" s="15">
        <v>7.1</v>
      </c>
      <c r="L6" s="8">
        <v>6.3</v>
      </c>
      <c r="M6" s="8">
        <v>8.1</v>
      </c>
      <c r="P6" s="8">
        <v>14.9</v>
      </c>
      <c r="Q6" s="8">
        <v>13.4</v>
      </c>
      <c r="R6" s="8">
        <v>13.1</v>
      </c>
      <c r="S6" s="8">
        <v>14.4</v>
      </c>
      <c r="T6" s="8">
        <v>14.2</v>
      </c>
    </row>
    <row r="7" spans="2:20" x14ac:dyDescent="0.2">
      <c r="B7" s="8">
        <v>6.1</v>
      </c>
      <c r="C7" s="8">
        <v>3.2</v>
      </c>
      <c r="E7" s="8">
        <v>6.8</v>
      </c>
      <c r="F7" s="8">
        <v>5.9</v>
      </c>
      <c r="I7" s="21">
        <v>8.6999999999999993</v>
      </c>
      <c r="J7" s="15">
        <v>6.9</v>
      </c>
      <c r="K7" s="15">
        <v>6.3</v>
      </c>
      <c r="L7" s="8">
        <v>7.2</v>
      </c>
      <c r="M7" s="8">
        <v>4.2</v>
      </c>
      <c r="P7" s="8">
        <v>14.2</v>
      </c>
      <c r="Q7" s="8">
        <v>13.3</v>
      </c>
      <c r="R7" s="8">
        <v>15.7</v>
      </c>
      <c r="S7" s="8">
        <v>15.1</v>
      </c>
      <c r="T7" s="8">
        <v>10.5</v>
      </c>
    </row>
    <row r="8" spans="2:20" x14ac:dyDescent="0.2">
      <c r="B8" s="8">
        <v>3.3</v>
      </c>
      <c r="C8" s="8">
        <v>2.8</v>
      </c>
      <c r="E8" s="8"/>
      <c r="F8" s="8"/>
      <c r="I8" s="21">
        <v>6.8</v>
      </c>
      <c r="J8" s="15">
        <v>10.1</v>
      </c>
      <c r="K8" s="15">
        <v>6.3</v>
      </c>
      <c r="L8" s="8">
        <v>7.1</v>
      </c>
      <c r="M8" s="8">
        <v>8.1</v>
      </c>
      <c r="P8" s="8">
        <v>12.5</v>
      </c>
      <c r="Q8" s="8">
        <v>12.7</v>
      </c>
      <c r="R8" s="8">
        <v>13.2</v>
      </c>
      <c r="S8" s="8">
        <v>13.7</v>
      </c>
      <c r="T8" s="8">
        <v>10.8</v>
      </c>
    </row>
    <row r="9" spans="2:20" x14ac:dyDescent="0.2">
      <c r="B9" s="8">
        <v>3.7</v>
      </c>
      <c r="C9" s="21">
        <v>4</v>
      </c>
      <c r="E9" s="8"/>
      <c r="F9" s="8"/>
      <c r="I9" s="21">
        <v>8.4</v>
      </c>
      <c r="J9" s="15">
        <v>8.1</v>
      </c>
      <c r="K9" s="15">
        <v>6</v>
      </c>
      <c r="L9" s="8">
        <v>5.2</v>
      </c>
      <c r="M9" s="8">
        <v>6.1</v>
      </c>
      <c r="P9" s="8">
        <v>13.1</v>
      </c>
      <c r="R9" s="8">
        <v>18.2</v>
      </c>
      <c r="S9" s="8">
        <v>13.1</v>
      </c>
      <c r="T9" s="8">
        <v>11.2</v>
      </c>
    </row>
    <row r="10" spans="2:20" x14ac:dyDescent="0.2">
      <c r="B10" s="8">
        <v>3.4</v>
      </c>
      <c r="C10" s="8">
        <v>3.6</v>
      </c>
      <c r="E10" s="8"/>
      <c r="F10" s="8"/>
      <c r="I10" s="21">
        <v>8.4</v>
      </c>
      <c r="J10" s="15">
        <v>8.5</v>
      </c>
      <c r="K10" s="22"/>
      <c r="L10" s="8">
        <v>6.4</v>
      </c>
      <c r="M10" s="8"/>
      <c r="P10" s="8">
        <v>13.6</v>
      </c>
      <c r="R10" s="8">
        <v>11.9</v>
      </c>
      <c r="S10" s="8"/>
      <c r="T10" s="8">
        <v>11.7</v>
      </c>
    </row>
    <row r="11" spans="2:20" x14ac:dyDescent="0.2">
      <c r="B11" s="8">
        <v>6.7</v>
      </c>
      <c r="C11" s="8"/>
      <c r="D11" s="8"/>
      <c r="E11" s="8"/>
      <c r="F11" s="8"/>
      <c r="I11" s="21">
        <v>8.6999999999999993</v>
      </c>
      <c r="J11" s="15">
        <v>6</v>
      </c>
      <c r="K11" s="22"/>
      <c r="L11" s="8">
        <v>6.1</v>
      </c>
      <c r="M11" s="8"/>
      <c r="P11" s="8">
        <v>12.6</v>
      </c>
      <c r="S11" s="8"/>
      <c r="T11" s="8">
        <v>8.9</v>
      </c>
    </row>
    <row r="12" spans="2:20" x14ac:dyDescent="0.2">
      <c r="I12" s="21">
        <v>7.8</v>
      </c>
      <c r="J12" s="15">
        <v>6.2</v>
      </c>
      <c r="K12" s="22"/>
      <c r="L12" s="8">
        <v>7.5</v>
      </c>
      <c r="M12" s="8"/>
      <c r="P12" s="8">
        <v>11.5</v>
      </c>
      <c r="S12" s="8"/>
      <c r="T12" s="8">
        <v>15.7</v>
      </c>
    </row>
    <row r="13" spans="2:20" x14ac:dyDescent="0.2">
      <c r="I13" s="21">
        <v>7.9</v>
      </c>
      <c r="J13" s="15">
        <v>5.6</v>
      </c>
      <c r="K13" s="22"/>
      <c r="P13" s="8">
        <v>13.6</v>
      </c>
      <c r="S13" s="8"/>
      <c r="T13" s="8">
        <v>13</v>
      </c>
    </row>
    <row r="14" spans="2:20" x14ac:dyDescent="0.2">
      <c r="I14" s="21">
        <v>5.7</v>
      </c>
      <c r="J14" s="15">
        <v>5.8</v>
      </c>
      <c r="K14" s="22"/>
      <c r="P14" s="8">
        <v>16.3</v>
      </c>
      <c r="S14" s="8"/>
      <c r="T14" s="8">
        <v>12.5</v>
      </c>
    </row>
    <row r="15" spans="2:20" x14ac:dyDescent="0.2">
      <c r="I15" s="21">
        <v>5</v>
      </c>
      <c r="P15" s="8">
        <v>15.7</v>
      </c>
      <c r="S15" s="8"/>
      <c r="T15" s="8">
        <v>10</v>
      </c>
    </row>
    <row r="16" spans="2:20" x14ac:dyDescent="0.2">
      <c r="I16" s="21">
        <v>6.8</v>
      </c>
      <c r="P16" s="8">
        <v>11.9</v>
      </c>
      <c r="S16" s="8"/>
      <c r="T16" s="8">
        <v>10.1</v>
      </c>
    </row>
    <row r="17" spans="9:20" x14ac:dyDescent="0.2">
      <c r="I17" s="21">
        <v>5.2</v>
      </c>
      <c r="S17" s="8"/>
      <c r="T17" s="8">
        <v>10.9</v>
      </c>
    </row>
    <row r="18" spans="9:20" x14ac:dyDescent="0.2">
      <c r="I18" s="21">
        <v>5.9</v>
      </c>
    </row>
    <row r="19" spans="9:20" x14ac:dyDescent="0.2">
      <c r="I19" s="21">
        <v>4.9000000000000004</v>
      </c>
    </row>
    <row r="20" spans="9:20" x14ac:dyDescent="0.2">
      <c r="I20" s="21">
        <v>4</v>
      </c>
    </row>
    <row r="21" spans="9:20" x14ac:dyDescent="0.2">
      <c r="I21" s="21">
        <v>5.5</v>
      </c>
    </row>
    <row r="22" spans="9:20" x14ac:dyDescent="0.2">
      <c r="I22" s="21">
        <v>4.5999999999999996</v>
      </c>
    </row>
    <row r="23" spans="9:20" x14ac:dyDescent="0.2">
      <c r="I23" s="21">
        <v>5.8</v>
      </c>
    </row>
    <row r="24" spans="9:20" x14ac:dyDescent="0.2">
      <c r="I24" s="21">
        <v>5.4</v>
      </c>
    </row>
    <row r="25" spans="9:20" x14ac:dyDescent="0.2">
      <c r="I25" s="21">
        <v>6</v>
      </c>
    </row>
    <row r="26" spans="9:20" x14ac:dyDescent="0.2">
      <c r="I26" s="21">
        <v>5</v>
      </c>
    </row>
    <row r="27" spans="9:20" x14ac:dyDescent="0.2">
      <c r="I27" s="21">
        <v>6</v>
      </c>
    </row>
    <row r="28" spans="9:20" x14ac:dyDescent="0.2">
      <c r="I28" s="21">
        <v>5.9</v>
      </c>
    </row>
    <row r="29" spans="9:20" x14ac:dyDescent="0.2">
      <c r="I29" s="21">
        <v>6.1</v>
      </c>
    </row>
    <row r="30" spans="9:20" x14ac:dyDescent="0.2">
      <c r="I30" s="21">
        <v>6.1</v>
      </c>
    </row>
    <row r="31" spans="9:20" x14ac:dyDescent="0.2">
      <c r="I31" s="21">
        <v>6.1</v>
      </c>
    </row>
    <row r="32" spans="9:20" x14ac:dyDescent="0.2">
      <c r="I32" s="21">
        <v>6.1</v>
      </c>
    </row>
    <row r="33" spans="1:20" x14ac:dyDescent="0.2">
      <c r="I33" s="21">
        <v>5.5</v>
      </c>
    </row>
    <row r="34" spans="1:20" x14ac:dyDescent="0.2">
      <c r="I34" s="21">
        <v>6.2</v>
      </c>
    </row>
    <row r="35" spans="1:20" x14ac:dyDescent="0.2">
      <c r="I35" s="21">
        <v>6.1</v>
      </c>
    </row>
    <row r="36" spans="1:20" x14ac:dyDescent="0.2">
      <c r="I36" s="21">
        <v>5.9</v>
      </c>
    </row>
    <row r="39" spans="1:20" x14ac:dyDescent="0.2">
      <c r="A39" s="17" t="s">
        <v>205</v>
      </c>
      <c r="B39" s="13">
        <f>AVERAGE(B3:B38)</f>
        <v>4.1111111111111107</v>
      </c>
      <c r="C39" s="13">
        <f>AVERAGE(C3:C38)</f>
        <v>4.0625</v>
      </c>
      <c r="D39" s="13">
        <f>AVERAGE(D3:D38)</f>
        <v>3.5249999999999999</v>
      </c>
      <c r="E39" s="13">
        <f>AVERAGE(E3:E38)</f>
        <v>4.0999999999999996</v>
      </c>
      <c r="F39" s="13">
        <f>AVERAGE(F3:F38)</f>
        <v>4.6400000000000006</v>
      </c>
      <c r="I39" s="13">
        <f>AVERAGE(I3:I38)</f>
        <v>6.3794117647058828</v>
      </c>
      <c r="J39" s="13">
        <f>AVERAGE(J3:J38)</f>
        <v>7.3833333333333329</v>
      </c>
      <c r="K39" s="13">
        <f>AVERAGE(K3:K38)</f>
        <v>6.4999999999999991</v>
      </c>
      <c r="L39" s="13">
        <f>AVERAGE(L3:L38)</f>
        <v>6.830000000000001</v>
      </c>
      <c r="M39" s="13">
        <f>AVERAGE(M3:M38)</f>
        <v>7.3428571428571434</v>
      </c>
      <c r="P39" s="13">
        <f>AVERAGE(P3:P38)</f>
        <v>13.042857142857143</v>
      </c>
      <c r="Q39" s="13">
        <f>AVERAGE(Q3:Q38)</f>
        <v>13.116666666666667</v>
      </c>
      <c r="R39" s="13">
        <f>AVERAGE(R3:R38)</f>
        <v>12.925000000000001</v>
      </c>
      <c r="S39" s="13">
        <f>AVERAGE(S3:S38)</f>
        <v>13.957142857142857</v>
      </c>
      <c r="T39" s="13">
        <f>AVERAGE(T3:T38)</f>
        <v>11.813333333333334</v>
      </c>
    </row>
    <row r="40" spans="1:20" x14ac:dyDescent="0.2">
      <c r="A40" s="18" t="s">
        <v>206</v>
      </c>
      <c r="B40" s="14">
        <f>STDEV(B3:B38)</f>
        <v>1.334582747944506</v>
      </c>
      <c r="C40" s="14">
        <f>STDEV(C3:C38)</f>
        <v>1.4009563060383334</v>
      </c>
      <c r="D40" s="14">
        <f>STDEV(D3:D38)</f>
        <v>0.17078251276599346</v>
      </c>
      <c r="E40" s="14">
        <f>STDEV(E3:E38)</f>
        <v>1.5443445211480507</v>
      </c>
      <c r="F40" s="14">
        <f>STDEV(F3:F38)</f>
        <v>1.6040573555830206</v>
      </c>
      <c r="I40" s="14">
        <f>STDEV(I3:I38)</f>
        <v>1.289768457435984</v>
      </c>
      <c r="J40" s="14">
        <f>STDEV(J3:J38)</f>
        <v>1.3529989137490355</v>
      </c>
      <c r="K40" s="14">
        <f>STDEV(K3:K38)</f>
        <v>0.53229064742237697</v>
      </c>
      <c r="L40" s="14">
        <f>STDEV(L3:L38)</f>
        <v>0.86287632691802307</v>
      </c>
      <c r="M40" s="14">
        <f>STDEV(M3:M38)</f>
        <v>1.62978234012719</v>
      </c>
      <c r="P40" s="14">
        <f>STDEV(P3:P38)</f>
        <v>1.8595757521601537</v>
      </c>
      <c r="Q40" s="14">
        <f>STDEV(Q3:Q38)</f>
        <v>0.51542862422130431</v>
      </c>
      <c r="R40" s="14">
        <f>STDEV(R3:R38)</f>
        <v>2.8151376520518472</v>
      </c>
      <c r="S40" s="14">
        <f>STDEV(S3:S38)</f>
        <v>0.67788185513687393</v>
      </c>
      <c r="T40" s="14">
        <f>STDEV(T3:T38)</f>
        <v>1.9595431926368625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D6943-9347-7F4D-A1FD-09963DC1B942}">
  <dimension ref="A1:S30"/>
  <sheetViews>
    <sheetView workbookViewId="0">
      <selection activeCell="A4" sqref="A1:XFD1048576"/>
    </sheetView>
  </sheetViews>
  <sheetFormatPr baseColWidth="10" defaultColWidth="11" defaultRowHeight="16" x14ac:dyDescent="0.2"/>
  <cols>
    <col min="1" max="5" width="11" style="9"/>
    <col min="6" max="6" width="0.83203125" style="9" customWidth="1"/>
    <col min="7" max="10" width="11" style="9"/>
    <col min="11" max="11" width="0.83203125" style="9" customWidth="1"/>
    <col min="12" max="16384" width="11" style="9"/>
  </cols>
  <sheetData>
    <row r="1" spans="2:19" x14ac:dyDescent="0.2"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</row>
    <row r="2" spans="2:19" x14ac:dyDescent="0.2"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</row>
    <row r="3" spans="2:19" x14ac:dyDescent="0.2">
      <c r="B3" s="54" t="s">
        <v>147</v>
      </c>
      <c r="C3" s="54"/>
      <c r="D3" s="54"/>
      <c r="G3" s="54" t="s">
        <v>156</v>
      </c>
      <c r="H3" s="54"/>
      <c r="I3" s="54"/>
      <c r="L3" s="54" t="s">
        <v>157</v>
      </c>
      <c r="M3" s="54"/>
      <c r="N3" s="54"/>
    </row>
    <row r="4" spans="2:19" x14ac:dyDescent="0.2">
      <c r="B4" s="45" t="s">
        <v>158</v>
      </c>
      <c r="C4" s="45" t="s">
        <v>138</v>
      </c>
      <c r="D4" s="45" t="s">
        <v>139</v>
      </c>
      <c r="G4" s="45" t="s">
        <v>158</v>
      </c>
      <c r="H4" s="45" t="s">
        <v>138</v>
      </c>
      <c r="I4" s="45" t="s">
        <v>139</v>
      </c>
      <c r="L4" s="45" t="s">
        <v>158</v>
      </c>
      <c r="M4" s="45" t="s">
        <v>138</v>
      </c>
      <c r="N4" s="45" t="s">
        <v>139</v>
      </c>
    </row>
    <row r="5" spans="2:19" x14ac:dyDescent="0.2">
      <c r="B5" s="9">
        <v>196</v>
      </c>
      <c r="C5" s="9">
        <v>233.5</v>
      </c>
      <c r="D5" s="9">
        <v>182</v>
      </c>
      <c r="E5" s="38"/>
      <c r="G5" s="9">
        <v>388.5</v>
      </c>
      <c r="H5" s="9">
        <v>324</v>
      </c>
      <c r="I5" s="9">
        <v>542.5</v>
      </c>
      <c r="J5" s="38"/>
      <c r="L5" s="9">
        <v>443</v>
      </c>
      <c r="M5" s="9">
        <v>447</v>
      </c>
      <c r="N5" s="9">
        <v>500</v>
      </c>
      <c r="O5" s="38"/>
    </row>
    <row r="6" spans="2:19" x14ac:dyDescent="0.2">
      <c r="B6" s="9">
        <v>157</v>
      </c>
      <c r="C6" s="9">
        <v>176.5</v>
      </c>
      <c r="D6" s="9">
        <v>168</v>
      </c>
      <c r="E6" s="38"/>
      <c r="G6" s="9">
        <v>289.5</v>
      </c>
      <c r="H6" s="9">
        <v>467</v>
      </c>
      <c r="I6" s="9">
        <v>600</v>
      </c>
      <c r="J6" s="38"/>
      <c r="L6" s="9">
        <v>469</v>
      </c>
      <c r="M6" s="9">
        <v>370</v>
      </c>
      <c r="N6" s="9">
        <v>493</v>
      </c>
      <c r="O6" s="38"/>
    </row>
    <row r="7" spans="2:19" x14ac:dyDescent="0.2">
      <c r="B7" s="9">
        <v>186</v>
      </c>
      <c r="C7" s="9">
        <v>183</v>
      </c>
      <c r="D7" s="9">
        <v>147.5</v>
      </c>
      <c r="E7" s="38"/>
      <c r="G7" s="9">
        <v>229</v>
      </c>
      <c r="H7" s="9">
        <v>231.5</v>
      </c>
      <c r="I7" s="9">
        <v>328</v>
      </c>
      <c r="J7" s="38"/>
      <c r="L7" s="9">
        <v>408</v>
      </c>
      <c r="M7" s="9">
        <v>387</v>
      </c>
      <c r="N7" s="9">
        <v>339</v>
      </c>
      <c r="O7" s="38"/>
    </row>
    <row r="8" spans="2:19" x14ac:dyDescent="0.2">
      <c r="B8" s="9">
        <v>163</v>
      </c>
      <c r="C8" s="9">
        <v>194.5</v>
      </c>
      <c r="D8" s="9">
        <v>183.5</v>
      </c>
      <c r="E8" s="38"/>
      <c r="G8" s="9">
        <v>358</v>
      </c>
      <c r="H8" s="9">
        <v>375</v>
      </c>
      <c r="I8" s="9">
        <v>430</v>
      </c>
      <c r="J8" s="38"/>
      <c r="L8" s="9">
        <v>558</v>
      </c>
      <c r="M8" s="9">
        <v>487</v>
      </c>
      <c r="N8" s="9">
        <v>296</v>
      </c>
      <c r="O8" s="38"/>
    </row>
    <row r="9" spans="2:19" x14ac:dyDescent="0.2">
      <c r="B9" s="9">
        <v>194</v>
      </c>
      <c r="C9" s="9">
        <v>188</v>
      </c>
      <c r="D9" s="9">
        <v>182</v>
      </c>
      <c r="E9" s="38"/>
      <c r="G9" s="9">
        <v>403</v>
      </c>
      <c r="H9" s="9">
        <v>531</v>
      </c>
      <c r="I9" s="9">
        <v>449</v>
      </c>
      <c r="J9" s="38"/>
      <c r="L9" s="9">
        <v>348</v>
      </c>
      <c r="M9" s="9">
        <v>427</v>
      </c>
      <c r="N9" s="9">
        <v>276</v>
      </c>
      <c r="O9" s="38"/>
    </row>
    <row r="10" spans="2:19" x14ac:dyDescent="0.2">
      <c r="B10" s="9">
        <v>210</v>
      </c>
      <c r="C10" s="9">
        <v>210</v>
      </c>
      <c r="D10" s="9">
        <v>176</v>
      </c>
      <c r="E10" s="38"/>
      <c r="G10" s="9">
        <v>347</v>
      </c>
      <c r="H10" s="9">
        <v>360</v>
      </c>
      <c r="I10" s="9">
        <v>404</v>
      </c>
      <c r="J10" s="38"/>
      <c r="L10" s="9">
        <v>346</v>
      </c>
      <c r="M10" s="9">
        <v>294</v>
      </c>
      <c r="N10" s="9">
        <v>242</v>
      </c>
      <c r="O10" s="38"/>
    </row>
    <row r="11" spans="2:19" x14ac:dyDescent="0.2">
      <c r="B11" s="9">
        <v>210</v>
      </c>
      <c r="C11" s="9">
        <v>168</v>
      </c>
      <c r="D11" s="9">
        <v>208</v>
      </c>
      <c r="E11" s="38"/>
      <c r="G11" s="9">
        <v>354</v>
      </c>
      <c r="H11" s="9">
        <v>318</v>
      </c>
      <c r="I11" s="9">
        <v>334</v>
      </c>
      <c r="J11" s="38"/>
      <c r="L11" s="9">
        <v>331.5</v>
      </c>
      <c r="M11" s="9">
        <v>286</v>
      </c>
      <c r="N11" s="9">
        <v>348</v>
      </c>
      <c r="O11" s="38"/>
    </row>
    <row r="12" spans="2:19" x14ac:dyDescent="0.2">
      <c r="B12" s="9">
        <v>293</v>
      </c>
      <c r="C12" s="9">
        <v>223</v>
      </c>
      <c r="D12" s="9">
        <v>289</v>
      </c>
      <c r="E12" s="38"/>
      <c r="G12" s="9">
        <v>292</v>
      </c>
      <c r="H12" s="9">
        <v>234.5</v>
      </c>
      <c r="I12" s="9">
        <v>411</v>
      </c>
      <c r="J12" s="38"/>
      <c r="L12" s="9">
        <v>299</v>
      </c>
      <c r="M12" s="9">
        <v>220.5</v>
      </c>
      <c r="N12" s="9">
        <v>284</v>
      </c>
      <c r="O12" s="38"/>
    </row>
    <row r="13" spans="2:19" x14ac:dyDescent="0.2">
      <c r="B13" s="9">
        <v>256</v>
      </c>
      <c r="C13" s="9">
        <v>141</v>
      </c>
      <c r="D13" s="9">
        <v>132</v>
      </c>
      <c r="E13" s="38"/>
      <c r="G13" s="9">
        <v>350.5</v>
      </c>
      <c r="H13" s="9">
        <v>250.5</v>
      </c>
      <c r="I13" s="9">
        <v>357</v>
      </c>
      <c r="J13" s="38"/>
      <c r="L13" s="9">
        <v>330.5</v>
      </c>
      <c r="M13" s="9">
        <v>339.5</v>
      </c>
      <c r="N13" s="9">
        <v>393</v>
      </c>
      <c r="O13" s="38"/>
    </row>
    <row r="14" spans="2:19" x14ac:dyDescent="0.2">
      <c r="B14" s="9">
        <v>271</v>
      </c>
      <c r="C14" s="9">
        <v>176</v>
      </c>
      <c r="D14" s="9">
        <v>162</v>
      </c>
      <c r="E14" s="38"/>
      <c r="G14" s="9">
        <v>346.5</v>
      </c>
      <c r="H14" s="9">
        <v>279.5</v>
      </c>
      <c r="I14" s="9">
        <v>381</v>
      </c>
      <c r="J14" s="38"/>
      <c r="L14" s="9">
        <v>372</v>
      </c>
      <c r="M14" s="9">
        <v>198</v>
      </c>
      <c r="N14" s="9">
        <v>272</v>
      </c>
      <c r="O14" s="38"/>
    </row>
    <row r="15" spans="2:19" x14ac:dyDescent="0.2">
      <c r="B15" s="9">
        <v>283</v>
      </c>
      <c r="C15" s="9">
        <v>206</v>
      </c>
      <c r="D15" s="9">
        <v>154</v>
      </c>
      <c r="E15" s="38"/>
      <c r="G15" s="9">
        <v>313</v>
      </c>
      <c r="H15" s="9">
        <v>214</v>
      </c>
      <c r="I15" s="9">
        <v>191.5</v>
      </c>
      <c r="J15" s="38"/>
      <c r="L15" s="9">
        <v>352</v>
      </c>
      <c r="M15" s="9">
        <v>267</v>
      </c>
      <c r="N15" s="9">
        <v>268</v>
      </c>
      <c r="O15" s="38"/>
    </row>
    <row r="16" spans="2:19" x14ac:dyDescent="0.2">
      <c r="B16" s="9">
        <v>263</v>
      </c>
      <c r="C16" s="9">
        <v>200.5</v>
      </c>
      <c r="D16" s="9">
        <v>189</v>
      </c>
      <c r="E16" s="38"/>
      <c r="G16" s="9">
        <v>357</v>
      </c>
      <c r="H16" s="9">
        <v>296.5</v>
      </c>
      <c r="I16" s="9">
        <v>218.5</v>
      </c>
      <c r="J16" s="38"/>
      <c r="L16" s="9">
        <v>500.5</v>
      </c>
      <c r="M16" s="9">
        <v>318</v>
      </c>
      <c r="N16" s="9">
        <v>433.5</v>
      </c>
      <c r="O16" s="38"/>
    </row>
    <row r="17" spans="1:15" x14ac:dyDescent="0.2">
      <c r="B17" s="9">
        <v>291.5</v>
      </c>
      <c r="C17" s="9">
        <v>215</v>
      </c>
      <c r="D17" s="9">
        <v>184</v>
      </c>
      <c r="E17" s="38"/>
      <c r="G17" s="9">
        <v>337.5</v>
      </c>
      <c r="H17" s="9">
        <v>366</v>
      </c>
      <c r="I17" s="9">
        <v>292.5</v>
      </c>
      <c r="J17" s="38"/>
      <c r="L17" s="9">
        <v>368</v>
      </c>
      <c r="M17" s="9">
        <v>282</v>
      </c>
      <c r="N17" s="9">
        <v>271</v>
      </c>
      <c r="O17" s="38"/>
    </row>
    <row r="18" spans="1:15" x14ac:dyDescent="0.2">
      <c r="B18" s="9">
        <v>195.5</v>
      </c>
      <c r="C18" s="9">
        <v>168</v>
      </c>
      <c r="D18" s="9">
        <v>240</v>
      </c>
      <c r="E18" s="38"/>
      <c r="G18" s="9">
        <v>299</v>
      </c>
      <c r="H18" s="9">
        <v>286</v>
      </c>
      <c r="I18" s="9">
        <v>270</v>
      </c>
      <c r="J18" s="38"/>
      <c r="L18" s="9">
        <v>387</v>
      </c>
      <c r="M18" s="9">
        <v>233</v>
      </c>
      <c r="N18" s="9">
        <v>240.5</v>
      </c>
      <c r="O18" s="38"/>
    </row>
    <row r="19" spans="1:15" x14ac:dyDescent="0.2">
      <c r="B19" s="9">
        <v>197</v>
      </c>
      <c r="C19" s="9">
        <v>172</v>
      </c>
      <c r="D19" s="9">
        <v>156</v>
      </c>
      <c r="E19" s="38"/>
      <c r="G19" s="9">
        <v>409</v>
      </c>
      <c r="H19" s="9">
        <v>278</v>
      </c>
      <c r="I19" s="9">
        <v>231</v>
      </c>
      <c r="J19" s="38"/>
      <c r="L19" s="9">
        <v>486</v>
      </c>
      <c r="M19" s="9">
        <v>368</v>
      </c>
      <c r="N19" s="9">
        <v>323.5</v>
      </c>
      <c r="O19" s="38"/>
    </row>
    <row r="20" spans="1:15" x14ac:dyDescent="0.2">
      <c r="B20" s="9">
        <v>224.5</v>
      </c>
      <c r="C20" s="9">
        <v>166</v>
      </c>
      <c r="D20" s="9">
        <v>176.5</v>
      </c>
      <c r="E20" s="38"/>
    </row>
    <row r="23" spans="1:15" x14ac:dyDescent="0.2">
      <c r="A23" s="17" t="s">
        <v>205</v>
      </c>
      <c r="B23" s="19">
        <f>AVERAGE(B5:B20)</f>
        <v>224.40625</v>
      </c>
      <c r="C23" s="19">
        <f t="shared" ref="C23:D23" si="0">AVERAGE(C5:C20)</f>
        <v>188.8125</v>
      </c>
      <c r="D23" s="19">
        <f t="shared" si="0"/>
        <v>183.09375</v>
      </c>
      <c r="E23" s="19"/>
      <c r="G23" s="19">
        <f>AVERAGE(G5:G20)</f>
        <v>338.23333333333335</v>
      </c>
      <c r="H23" s="19">
        <f t="shared" ref="H23:I23" si="1">AVERAGE(H5:H20)</f>
        <v>320.76666666666665</v>
      </c>
      <c r="I23" s="19">
        <f t="shared" si="1"/>
        <v>362.66666666666669</v>
      </c>
      <c r="J23" s="19"/>
      <c r="L23" s="19">
        <f>AVERAGE(L5:L20)</f>
        <v>399.9</v>
      </c>
      <c r="M23" s="19">
        <f t="shared" ref="M23:N23" si="2">AVERAGE(M5:M20)</f>
        <v>328.26666666666665</v>
      </c>
      <c r="N23" s="19">
        <f t="shared" si="2"/>
        <v>331.96666666666664</v>
      </c>
      <c r="O23" s="19"/>
    </row>
    <row r="24" spans="1:15" x14ac:dyDescent="0.2">
      <c r="A24" s="18" t="s">
        <v>206</v>
      </c>
      <c r="B24" s="20">
        <f>STDEV(B5:B20)</f>
        <v>45.329246905281806</v>
      </c>
      <c r="C24" s="20">
        <f t="shared" ref="C24:D24" si="3">STDEV(C5:C20)</f>
        <v>24.590563908404651</v>
      </c>
      <c r="D24" s="20">
        <f t="shared" si="3"/>
        <v>37.716140996484071</v>
      </c>
      <c r="E24" s="20"/>
      <c r="F24" s="20" t="e">
        <f t="shared" ref="F24" si="4">STDEV(F15:F20)</f>
        <v>#DIV/0!</v>
      </c>
      <c r="G24" s="20">
        <f>STDEV(G5:G20)</f>
        <v>47.537529034087036</v>
      </c>
      <c r="H24" s="20">
        <f t="shared" ref="H24:I24" si="5">STDEV(H5:H20)</f>
        <v>88.318997039681321</v>
      </c>
      <c r="I24" s="20">
        <f t="shared" si="5"/>
        <v>115.8876713932607</v>
      </c>
      <c r="J24" s="20"/>
      <c r="L24" s="20">
        <f>STDEV(L5:L20)</f>
        <v>75.004095126294885</v>
      </c>
      <c r="M24" s="20">
        <f t="shared" ref="M24:N24" si="6">STDEV(M5:M20)</f>
        <v>85.589315643840465</v>
      </c>
      <c r="N24" s="20">
        <f t="shared" si="6"/>
        <v>85.844848973238342</v>
      </c>
      <c r="O24" s="20"/>
    </row>
    <row r="28" spans="1:15" x14ac:dyDescent="0.2">
      <c r="A28" s="47"/>
    </row>
    <row r="29" spans="1:15" x14ac:dyDescent="0.2">
      <c r="A29" s="46"/>
    </row>
    <row r="30" spans="1:15" x14ac:dyDescent="0.2">
      <c r="A30" s="49"/>
    </row>
  </sheetData>
  <mergeCells count="3">
    <mergeCell ref="B3:D3"/>
    <mergeCell ref="G3:I3"/>
    <mergeCell ref="L3:N3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57C518-AB24-C845-B01D-F6AB972C7F52}">
  <dimension ref="A1:D21"/>
  <sheetViews>
    <sheetView topLeftCell="A2" workbookViewId="0">
      <selection activeCell="A2" sqref="A1:XFD1048576"/>
    </sheetView>
  </sheetViews>
  <sheetFormatPr baseColWidth="10" defaultColWidth="11" defaultRowHeight="16" x14ac:dyDescent="0.2"/>
  <cols>
    <col min="1" max="16384" width="11" style="9"/>
  </cols>
  <sheetData>
    <row r="1" spans="1:4" x14ac:dyDescent="0.2">
      <c r="B1" s="9" t="s">
        <v>161</v>
      </c>
    </row>
    <row r="2" spans="1:4" ht="34" x14ac:dyDescent="0.2">
      <c r="B2" s="32" t="s">
        <v>147</v>
      </c>
      <c r="C2" s="32" t="s">
        <v>148</v>
      </c>
      <c r="D2" s="32" t="s">
        <v>149</v>
      </c>
    </row>
    <row r="3" spans="1:4" x14ac:dyDescent="0.2">
      <c r="B3" s="22">
        <v>0</v>
      </c>
      <c r="C3" s="22">
        <v>0.55248618784530379</v>
      </c>
      <c r="D3" s="22">
        <v>7.9617834394904469E-2</v>
      </c>
    </row>
    <row r="4" spans="1:4" x14ac:dyDescent="0.2">
      <c r="B4" s="22">
        <v>5.8927519151443723E-2</v>
      </c>
      <c r="C4" s="22">
        <v>0.27643400138217</v>
      </c>
      <c r="D4" s="22">
        <v>7.4404761904761904E-2</v>
      </c>
    </row>
    <row r="5" spans="1:4" x14ac:dyDescent="0.2">
      <c r="B5" s="22">
        <v>0.15060240963855423</v>
      </c>
      <c r="C5" s="22">
        <v>0.17467248908296942</v>
      </c>
      <c r="D5" s="22">
        <v>0.17094017094017094</v>
      </c>
    </row>
    <row r="6" spans="1:4" x14ac:dyDescent="0.2">
      <c r="B6" s="22">
        <v>0.28901734104046239</v>
      </c>
      <c r="C6" s="22">
        <v>3.8819875776397512E-2</v>
      </c>
      <c r="D6" s="22">
        <v>0.14705882352941177</v>
      </c>
    </row>
    <row r="7" spans="1:4" x14ac:dyDescent="0.2">
      <c r="B7" s="22">
        <v>0</v>
      </c>
      <c r="C7" s="22">
        <v>1.1029411764705883</v>
      </c>
      <c r="D7" s="22">
        <v>0.18050541516245489</v>
      </c>
    </row>
    <row r="8" spans="1:4" x14ac:dyDescent="0.2">
      <c r="B8" s="22">
        <v>0.10449320794148381</v>
      </c>
      <c r="C8" s="22">
        <v>0.38910505836575876</v>
      </c>
      <c r="D8" s="22">
        <v>0.11668611435239205</v>
      </c>
    </row>
    <row r="9" spans="1:4" x14ac:dyDescent="0.2">
      <c r="B9" s="22">
        <v>0</v>
      </c>
      <c r="C9" s="22"/>
      <c r="D9" s="22">
        <v>0</v>
      </c>
    </row>
    <row r="10" spans="1:4" x14ac:dyDescent="0.2">
      <c r="B10" s="22"/>
      <c r="C10" s="22"/>
      <c r="D10" s="22">
        <v>0</v>
      </c>
    </row>
    <row r="11" spans="1:4" x14ac:dyDescent="0.2">
      <c r="B11" s="22"/>
      <c r="C11" s="22"/>
      <c r="D11" s="22">
        <v>0.3003003003003003</v>
      </c>
    </row>
    <row r="12" spans="1:4" x14ac:dyDescent="0.2">
      <c r="B12" s="22"/>
      <c r="C12" s="22"/>
      <c r="D12" s="22">
        <v>0</v>
      </c>
    </row>
    <row r="15" spans="1:4" x14ac:dyDescent="0.2">
      <c r="A15" s="17" t="s">
        <v>205</v>
      </c>
      <c r="B15" s="19">
        <f>AVERAGE(B3:B12)</f>
        <v>8.6148639681706315E-2</v>
      </c>
      <c r="C15" s="19">
        <f t="shared" ref="C15:D15" si="0">AVERAGE(C3:C12)</f>
        <v>0.42240979815386459</v>
      </c>
      <c r="D15" s="19">
        <f t="shared" si="0"/>
        <v>0.10695134205843963</v>
      </c>
    </row>
    <row r="16" spans="1:4" x14ac:dyDescent="0.2">
      <c r="A16" s="18" t="s">
        <v>206</v>
      </c>
      <c r="B16" s="20">
        <f>STDEV(B3:B12)</f>
        <v>0.10696749926747573</v>
      </c>
      <c r="C16" s="20">
        <f t="shared" ref="C16:D16" si="1">STDEV(C3:C12)</f>
        <v>0.37708777912298963</v>
      </c>
      <c r="D16" s="20">
        <f t="shared" si="1"/>
        <v>9.7018976741560403E-2</v>
      </c>
    </row>
    <row r="20" spans="1:1" x14ac:dyDescent="0.2">
      <c r="A20" s="47"/>
    </row>
    <row r="21" spans="1:1" x14ac:dyDescent="0.2">
      <c r="A21" s="46"/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B4663D-271D-DD46-8985-F4EF2860583F}">
  <dimension ref="A1:D24"/>
  <sheetViews>
    <sheetView workbookViewId="0">
      <selection activeCell="C7" sqref="C7"/>
    </sheetView>
  </sheetViews>
  <sheetFormatPr baseColWidth="10" defaultColWidth="11" defaultRowHeight="16" x14ac:dyDescent="0.2"/>
  <cols>
    <col min="1" max="16384" width="11" style="9"/>
  </cols>
  <sheetData>
    <row r="1" spans="2:4" x14ac:dyDescent="0.2">
      <c r="B1" s="9" t="s">
        <v>162</v>
      </c>
    </row>
    <row r="2" spans="2:4" ht="34" x14ac:dyDescent="0.2">
      <c r="B2" s="53" t="s">
        <v>147</v>
      </c>
      <c r="C2" s="53" t="s">
        <v>148</v>
      </c>
      <c r="D2" s="53" t="s">
        <v>149</v>
      </c>
    </row>
    <row r="3" spans="2:4" x14ac:dyDescent="0.2">
      <c r="B3" s="22">
        <v>0.27900000000000003</v>
      </c>
      <c r="C3" s="22">
        <v>0.155</v>
      </c>
      <c r="D3" s="22">
        <v>0.16400000000000001</v>
      </c>
    </row>
    <row r="4" spans="2:4" x14ac:dyDescent="0.2">
      <c r="B4" s="22">
        <v>0.28599999999999998</v>
      </c>
      <c r="C4" s="22">
        <v>0.20399999999999999</v>
      </c>
      <c r="D4" s="22">
        <v>0.36199999999999999</v>
      </c>
    </row>
    <row r="5" spans="2:4" x14ac:dyDescent="0.2">
      <c r="B5" s="22">
        <v>0.28999999999999998</v>
      </c>
      <c r="C5" s="22">
        <v>0.113</v>
      </c>
      <c r="D5" s="22">
        <v>0.26800000000000002</v>
      </c>
    </row>
    <row r="6" spans="2:4" x14ac:dyDescent="0.2">
      <c r="B6" s="22">
        <v>0.28100000000000003</v>
      </c>
      <c r="C6" s="22">
        <v>0.30599999999999999</v>
      </c>
      <c r="D6" s="22">
        <v>0.49</v>
      </c>
    </row>
    <row r="7" spans="2:4" x14ac:dyDescent="0.2">
      <c r="B7" s="22">
        <v>0.35399999999999998</v>
      </c>
      <c r="C7" s="22">
        <v>0.23599999999999999</v>
      </c>
      <c r="D7" s="22">
        <v>0.78400000000000003</v>
      </c>
    </row>
    <row r="8" spans="2:4" x14ac:dyDescent="0.2">
      <c r="B8" s="22">
        <v>0.22900000000000001</v>
      </c>
      <c r="C8" s="22">
        <v>0.80300000000000005</v>
      </c>
      <c r="D8" s="22">
        <v>0.18</v>
      </c>
    </row>
    <row r="9" spans="2:4" x14ac:dyDescent="0.2">
      <c r="B9" s="22">
        <v>0.45200000000000001</v>
      </c>
      <c r="C9" s="22">
        <v>0.52700000000000002</v>
      </c>
      <c r="D9" s="22">
        <v>0.30499999999999999</v>
      </c>
    </row>
    <row r="10" spans="2:4" x14ac:dyDescent="0.2">
      <c r="B10" s="22">
        <v>0.378</v>
      </c>
      <c r="C10" s="22">
        <v>0.187</v>
      </c>
      <c r="D10" s="22">
        <v>0.25700000000000001</v>
      </c>
    </row>
    <row r="11" spans="2:4" x14ac:dyDescent="0.2">
      <c r="B11" s="22">
        <v>0.47699999999999998</v>
      </c>
      <c r="C11" s="22"/>
      <c r="D11" s="22">
        <v>0.30499999999999999</v>
      </c>
    </row>
    <row r="12" spans="2:4" x14ac:dyDescent="0.2">
      <c r="B12" s="22">
        <v>0.70599999999999996</v>
      </c>
      <c r="C12" s="22"/>
      <c r="D12" s="22">
        <v>0.11700000000000001</v>
      </c>
    </row>
    <row r="13" spans="2:4" x14ac:dyDescent="0.2">
      <c r="B13" s="22">
        <v>0.21</v>
      </c>
      <c r="C13" s="22"/>
      <c r="D13" s="22">
        <v>0.41699999999999998</v>
      </c>
    </row>
    <row r="14" spans="2:4" x14ac:dyDescent="0.2">
      <c r="B14" s="22"/>
      <c r="C14" s="22"/>
      <c r="D14" s="22">
        <v>0.61799999999999999</v>
      </c>
    </row>
    <row r="15" spans="2:4" x14ac:dyDescent="0.2">
      <c r="B15" s="22"/>
      <c r="C15" s="22"/>
      <c r="D15" s="22">
        <v>0.21299999999999999</v>
      </c>
    </row>
    <row r="18" spans="1:4" x14ac:dyDescent="0.2">
      <c r="A18" s="17" t="s">
        <v>205</v>
      </c>
      <c r="B18" s="19">
        <f>AVERAGE(B3:B15)</f>
        <v>0.35836363636363638</v>
      </c>
      <c r="C18" s="19">
        <f t="shared" ref="C18:D18" si="0">AVERAGE(C3:C15)</f>
        <v>0.31637500000000002</v>
      </c>
      <c r="D18" s="19">
        <f t="shared" si="0"/>
        <v>0.34461538461538466</v>
      </c>
    </row>
    <row r="19" spans="1:4" x14ac:dyDescent="0.2">
      <c r="A19" s="18" t="s">
        <v>206</v>
      </c>
      <c r="B19" s="20">
        <f>STDEV(B3:B15)</f>
        <v>0.14319167065669197</v>
      </c>
      <c r="C19" s="20">
        <f t="shared" ref="C19:D19" si="1">STDEV(C3:C15)</f>
        <v>0.23436963327188953</v>
      </c>
      <c r="D19" s="20">
        <f t="shared" si="1"/>
        <v>0.19148826703027103</v>
      </c>
    </row>
    <row r="23" spans="1:4" x14ac:dyDescent="0.2">
      <c r="A23" s="47"/>
    </row>
    <row r="24" spans="1:4" x14ac:dyDescent="0.2">
      <c r="A24" s="46"/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FE4C3F-99AD-294D-A5B9-4A2568C3F070}">
  <dimension ref="A1:K14"/>
  <sheetViews>
    <sheetView workbookViewId="0">
      <selection activeCell="H21" sqref="H21"/>
    </sheetView>
  </sheetViews>
  <sheetFormatPr baseColWidth="10" defaultColWidth="11" defaultRowHeight="16" x14ac:dyDescent="0.2"/>
  <cols>
    <col min="1" max="4" width="11" style="9"/>
    <col min="5" max="5" width="0.83203125" style="9" customWidth="1"/>
    <col min="6" max="8" width="11" style="9"/>
    <col min="9" max="9" width="0.83203125" style="9" customWidth="1"/>
    <col min="10" max="16384" width="11" style="9"/>
  </cols>
  <sheetData>
    <row r="1" spans="1:11" x14ac:dyDescent="0.2">
      <c r="B1" s="55" t="s">
        <v>147</v>
      </c>
      <c r="C1" s="55"/>
      <c r="F1" s="55" t="s">
        <v>163</v>
      </c>
      <c r="G1" s="55"/>
      <c r="J1" s="55" t="s">
        <v>164</v>
      </c>
      <c r="K1" s="55"/>
    </row>
    <row r="2" spans="1:11" x14ac:dyDescent="0.2">
      <c r="B2" s="6" t="s">
        <v>158</v>
      </c>
      <c r="C2" s="6" t="s">
        <v>139</v>
      </c>
      <c r="F2" s="6" t="s">
        <v>158</v>
      </c>
      <c r="G2" s="6" t="s">
        <v>139</v>
      </c>
      <c r="J2" s="6" t="s">
        <v>158</v>
      </c>
      <c r="K2" s="6" t="s">
        <v>139</v>
      </c>
    </row>
    <row r="3" spans="1:11" x14ac:dyDescent="0.2">
      <c r="B3" s="22">
        <v>0.31655050000000007</v>
      </c>
      <c r="C3" s="22">
        <v>0.96908440000000007</v>
      </c>
      <c r="F3" s="22">
        <v>0.14531820000000006</v>
      </c>
      <c r="G3" s="22">
        <v>0.12680659999999999</v>
      </c>
      <c r="J3" s="22">
        <v>0.25175990000000004</v>
      </c>
      <c r="K3" s="22">
        <v>0.21936460000000002</v>
      </c>
    </row>
    <row r="4" spans="1:11" x14ac:dyDescent="0.2">
      <c r="B4" s="22">
        <v>0.19159720000000008</v>
      </c>
      <c r="C4" s="22">
        <v>0.48315490000000005</v>
      </c>
      <c r="F4" s="22">
        <v>0.13143450000000001</v>
      </c>
      <c r="G4" s="22">
        <v>0.14531820000000006</v>
      </c>
      <c r="J4" s="22">
        <v>0.14531820000000006</v>
      </c>
      <c r="K4" s="22">
        <v>0.30266680000000001</v>
      </c>
    </row>
    <row r="5" spans="1:11" x14ac:dyDescent="0.2">
      <c r="B5" s="22">
        <v>0.18696930000000006</v>
      </c>
      <c r="C5" s="22">
        <v>0.27489940000000002</v>
      </c>
      <c r="F5" s="22">
        <v>0.15920190000000001</v>
      </c>
      <c r="G5" s="22">
        <v>0.18696930000000006</v>
      </c>
      <c r="J5" s="22">
        <v>0.12217870000000002</v>
      </c>
      <c r="K5" s="22">
        <v>0.13143450000000001</v>
      </c>
    </row>
    <row r="6" spans="1:11" x14ac:dyDescent="0.2">
      <c r="B6" s="22">
        <v>0.17308560000000006</v>
      </c>
      <c r="C6" s="22">
        <v>0.30729470000000003</v>
      </c>
      <c r="F6" s="22">
        <v>0.13143450000000001</v>
      </c>
      <c r="G6" s="22">
        <v>0.12217870000000002</v>
      </c>
      <c r="J6" s="22">
        <v>0.1175508</v>
      </c>
      <c r="K6" s="22">
        <v>0.14531820000000006</v>
      </c>
    </row>
    <row r="7" spans="1:11" x14ac:dyDescent="0.2">
      <c r="B7" s="22">
        <v>0.1175508</v>
      </c>
      <c r="C7" s="22">
        <v>0.26564360000000009</v>
      </c>
      <c r="F7" s="22">
        <v>0.15457400000000004</v>
      </c>
      <c r="G7" s="22">
        <v>0.15457400000000004</v>
      </c>
      <c r="J7" s="22">
        <v>0.17308560000000006</v>
      </c>
      <c r="K7" s="22">
        <v>0.19159720000000008</v>
      </c>
    </row>
    <row r="8" spans="1:11" x14ac:dyDescent="0.2">
      <c r="B8" s="22">
        <v>0.30266680000000001</v>
      </c>
      <c r="C8" s="22">
        <v>0.23787620000000004</v>
      </c>
      <c r="F8" s="22">
        <v>0.13606240000000003</v>
      </c>
      <c r="G8" s="22">
        <v>0.17308560000000006</v>
      </c>
      <c r="J8" s="22">
        <v>0.12217870000000002</v>
      </c>
      <c r="K8" s="22">
        <v>0.20548090000000002</v>
      </c>
    </row>
    <row r="9" spans="1:11" x14ac:dyDescent="0.2">
      <c r="B9" s="22">
        <v>0.2147367</v>
      </c>
      <c r="C9" s="22">
        <v>0.29341100000000003</v>
      </c>
      <c r="F9" s="22">
        <v>0.16382980000000003</v>
      </c>
      <c r="G9" s="22">
        <v>0.14531820000000006</v>
      </c>
      <c r="J9" s="22">
        <v>0.27027150000000005</v>
      </c>
      <c r="K9" s="22">
        <v>0.27952730000000003</v>
      </c>
    </row>
    <row r="10" spans="1:11" x14ac:dyDescent="0.2">
      <c r="B10" s="22">
        <v>0.19159720000000008</v>
      </c>
      <c r="C10" s="22">
        <v>0.43687589999999998</v>
      </c>
      <c r="F10" s="22">
        <v>0.15457400000000004</v>
      </c>
      <c r="G10" s="22">
        <v>0.16382980000000003</v>
      </c>
      <c r="J10" s="22">
        <v>0.13606240000000003</v>
      </c>
      <c r="K10" s="22">
        <v>0.21936460000000002</v>
      </c>
    </row>
    <row r="13" spans="1:11" x14ac:dyDescent="0.2">
      <c r="A13" s="17" t="s">
        <v>205</v>
      </c>
      <c r="B13" s="19">
        <f>AVERAGE(B3:B10)</f>
        <v>0.21184426250000005</v>
      </c>
      <c r="C13" s="19">
        <f>AVERAGE(C3:C10)</f>
        <v>0.40853001250000004</v>
      </c>
      <c r="D13" s="19"/>
      <c r="F13" s="19">
        <f>AVERAGE(F3:F10)</f>
        <v>0.14705366250000004</v>
      </c>
      <c r="G13" s="19">
        <f>AVERAGE(G3:G10)</f>
        <v>0.15226005000000006</v>
      </c>
      <c r="J13" s="19">
        <f>AVERAGE(J3:J10)</f>
        <v>0.16730072500000004</v>
      </c>
      <c r="K13" s="19">
        <f>AVERAGE(K3:K10)</f>
        <v>0.21184426250000002</v>
      </c>
    </row>
    <row r="14" spans="1:11" x14ac:dyDescent="0.2">
      <c r="A14" s="18" t="s">
        <v>206</v>
      </c>
      <c r="B14" s="20">
        <f>STDEV(B3:B10)</f>
        <v>6.6603986916484614E-2</v>
      </c>
      <c r="C14" s="20">
        <f>STDEV(C3:C10)</f>
        <v>0.24245498882680089</v>
      </c>
      <c r="D14" s="20"/>
      <c r="F14" s="20">
        <f>STDEV(F3:F10)</f>
        <v>1.2838922806610658E-2</v>
      </c>
      <c r="G14" s="20">
        <f>STDEV(G3:G10)</f>
        <v>2.2125593924554394E-2</v>
      </c>
      <c r="J14" s="20">
        <f>STDEV(J3:J10)</f>
        <v>6.0681735539304886E-2</v>
      </c>
      <c r="K14" s="20">
        <f>STDEV(K3:K10)</f>
        <v>5.890030397040024E-2</v>
      </c>
    </row>
  </sheetData>
  <mergeCells count="3">
    <mergeCell ref="B1:C1"/>
    <mergeCell ref="F1:G1"/>
    <mergeCell ref="J1:K1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5865D0-5176-E942-BA71-D1577032DAF1}">
  <dimension ref="B2:AF7"/>
  <sheetViews>
    <sheetView workbookViewId="0">
      <selection activeCell="I20" sqref="I20"/>
    </sheetView>
  </sheetViews>
  <sheetFormatPr baseColWidth="10" defaultRowHeight="16" x14ac:dyDescent="0.2"/>
  <cols>
    <col min="1" max="16384" width="10.83203125" style="9"/>
  </cols>
  <sheetData>
    <row r="2" spans="2:32" x14ac:dyDescent="0.2">
      <c r="B2" s="9" t="s">
        <v>217</v>
      </c>
      <c r="C2" s="56" t="s">
        <v>215</v>
      </c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 t="s">
        <v>216</v>
      </c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</row>
    <row r="3" spans="2:32" x14ac:dyDescent="0.2">
      <c r="B3" s="8">
        <v>0</v>
      </c>
      <c r="C3" s="8">
        <v>196</v>
      </c>
      <c r="D3" s="8">
        <v>182</v>
      </c>
      <c r="E3" s="8">
        <v>198</v>
      </c>
      <c r="F3" s="8">
        <v>195</v>
      </c>
      <c r="G3" s="8">
        <v>162</v>
      </c>
      <c r="H3" s="8">
        <v>150</v>
      </c>
      <c r="I3" s="8">
        <v>139</v>
      </c>
      <c r="J3" s="8">
        <v>180</v>
      </c>
      <c r="K3" s="8">
        <v>249</v>
      </c>
      <c r="L3" s="8">
        <v>279</v>
      </c>
      <c r="M3" s="8">
        <v>186</v>
      </c>
      <c r="N3" s="8">
        <v>210</v>
      </c>
      <c r="O3" s="19">
        <f>AVERAGE(C3:N3)</f>
        <v>193.83333333333334</v>
      </c>
      <c r="P3" s="20">
        <f>STDEV(C3:N3)</f>
        <v>39.214638577805104</v>
      </c>
      <c r="Q3" s="8"/>
      <c r="R3" s="8">
        <v>148</v>
      </c>
      <c r="S3" s="8">
        <v>175</v>
      </c>
      <c r="T3" s="8">
        <v>197</v>
      </c>
      <c r="U3" s="8">
        <v>173</v>
      </c>
      <c r="V3" s="8">
        <v>163</v>
      </c>
      <c r="W3" s="8">
        <v>159</v>
      </c>
      <c r="X3" s="8">
        <v>171</v>
      </c>
      <c r="Y3" s="8">
        <v>229</v>
      </c>
      <c r="Z3" s="8">
        <v>225</v>
      </c>
      <c r="AA3" s="8">
        <v>243</v>
      </c>
      <c r="AB3" s="8">
        <v>157</v>
      </c>
      <c r="AC3" s="8">
        <v>205</v>
      </c>
      <c r="AD3" s="8">
        <v>194</v>
      </c>
      <c r="AE3" s="19">
        <f>AVERAGE(R3:AD3)</f>
        <v>187.61538461538461</v>
      </c>
      <c r="AF3" s="20">
        <f>STDEV(R3:AD3)</f>
        <v>30.535603431454863</v>
      </c>
    </row>
    <row r="4" spans="2:32" x14ac:dyDescent="0.2">
      <c r="B4" s="8">
        <v>7</v>
      </c>
      <c r="C4" s="8">
        <v>280</v>
      </c>
      <c r="D4" s="8">
        <v>274</v>
      </c>
      <c r="E4" s="8">
        <v>221</v>
      </c>
      <c r="F4" s="8">
        <v>199</v>
      </c>
      <c r="G4" s="8">
        <v>208</v>
      </c>
      <c r="H4" s="8">
        <v>233</v>
      </c>
      <c r="I4" s="8">
        <v>222</v>
      </c>
      <c r="J4" s="8">
        <v>481</v>
      </c>
      <c r="K4" s="8">
        <v>493</v>
      </c>
      <c r="L4" s="8">
        <v>393</v>
      </c>
      <c r="M4" s="8">
        <v>389</v>
      </c>
      <c r="N4" s="8">
        <v>496</v>
      </c>
      <c r="O4" s="19">
        <f t="shared" ref="O4:O7" si="0">AVERAGE(C4:N4)</f>
        <v>324.08333333333331</v>
      </c>
      <c r="P4" s="20">
        <f t="shared" ref="P4:P7" si="1">STDEV(C4:N4)</f>
        <v>118.54838546757904</v>
      </c>
      <c r="Q4" s="8"/>
      <c r="R4" s="8">
        <v>350.5</v>
      </c>
      <c r="S4" s="8">
        <v>317.5</v>
      </c>
      <c r="T4" s="8">
        <v>244</v>
      </c>
      <c r="U4" s="8">
        <v>281</v>
      </c>
      <c r="V4" s="8">
        <v>213</v>
      </c>
      <c r="W4" s="8">
        <v>241</v>
      </c>
      <c r="X4" s="8">
        <v>212</v>
      </c>
      <c r="Y4" s="8">
        <v>412</v>
      </c>
      <c r="Z4" s="8">
        <v>398</v>
      </c>
      <c r="AA4" s="8">
        <v>600</v>
      </c>
      <c r="AB4" s="8">
        <v>413</v>
      </c>
      <c r="AC4" s="8">
        <v>343</v>
      </c>
      <c r="AD4" s="8">
        <v>422.5</v>
      </c>
      <c r="AE4" s="19">
        <f t="shared" ref="AE4:AE7" si="2">AVERAGE(R4:AD4)</f>
        <v>342.11538461538464</v>
      </c>
      <c r="AF4" s="20">
        <f t="shared" ref="AF4:AF7" si="3">STDEV(R4:AD4)</f>
        <v>109.49184784078561</v>
      </c>
    </row>
    <row r="5" spans="2:32" x14ac:dyDescent="0.2">
      <c r="B5" s="8">
        <v>14</v>
      </c>
      <c r="C5" s="8">
        <v>266</v>
      </c>
      <c r="D5" s="8">
        <v>251</v>
      </c>
      <c r="E5" s="8">
        <v>303</v>
      </c>
      <c r="F5" s="8">
        <v>420</v>
      </c>
      <c r="G5" s="8">
        <v>337.5</v>
      </c>
      <c r="H5" s="8">
        <v>351.5</v>
      </c>
      <c r="I5" s="8">
        <v>394.5</v>
      </c>
      <c r="J5" s="8">
        <v>474.5</v>
      </c>
      <c r="K5" s="8">
        <v>508.5</v>
      </c>
      <c r="L5" s="8">
        <v>402</v>
      </c>
      <c r="M5" s="8">
        <v>424</v>
      </c>
      <c r="N5" s="8">
        <v>459.5</v>
      </c>
      <c r="O5" s="19">
        <f t="shared" si="0"/>
        <v>382.66666666666669</v>
      </c>
      <c r="P5" s="20">
        <f t="shared" si="1"/>
        <v>82.071015073237163</v>
      </c>
      <c r="Q5" s="8"/>
      <c r="R5" s="8">
        <v>359</v>
      </c>
      <c r="S5" s="8">
        <v>304.5</v>
      </c>
      <c r="T5" s="8">
        <v>302</v>
      </c>
      <c r="U5" s="8">
        <v>438</v>
      </c>
      <c r="V5" s="8">
        <v>336</v>
      </c>
      <c r="W5" s="8">
        <v>364.5</v>
      </c>
      <c r="X5" s="8">
        <v>344.5</v>
      </c>
      <c r="Y5" s="8">
        <v>313.5</v>
      </c>
      <c r="Z5" s="8">
        <v>380.5</v>
      </c>
      <c r="AA5" s="8">
        <v>334</v>
      </c>
      <c r="AB5" s="8">
        <v>466</v>
      </c>
      <c r="AC5" s="8">
        <v>449.5</v>
      </c>
      <c r="AD5" s="8">
        <v>432</v>
      </c>
      <c r="AE5" s="19">
        <f t="shared" si="2"/>
        <v>371.07692307692309</v>
      </c>
      <c r="AF5" s="20">
        <f t="shared" si="3"/>
        <v>57.343572058341906</v>
      </c>
    </row>
    <row r="6" spans="2:32" x14ac:dyDescent="0.2">
      <c r="B6" s="8">
        <v>21</v>
      </c>
      <c r="C6" s="8">
        <v>479</v>
      </c>
      <c r="D6" s="8">
        <v>359</v>
      </c>
      <c r="E6" s="8">
        <v>368</v>
      </c>
      <c r="F6" s="8">
        <v>501</v>
      </c>
      <c r="G6" s="8">
        <v>419</v>
      </c>
      <c r="H6" s="8">
        <v>322</v>
      </c>
      <c r="I6" s="8">
        <v>419</v>
      </c>
      <c r="J6" s="8">
        <v>341</v>
      </c>
      <c r="K6" s="8">
        <v>345.5</v>
      </c>
      <c r="L6" s="8">
        <v>372</v>
      </c>
      <c r="M6" s="8">
        <v>496.5</v>
      </c>
      <c r="N6" s="8">
        <v>577</v>
      </c>
      <c r="O6" s="19">
        <f t="shared" si="0"/>
        <v>416.58333333333331</v>
      </c>
      <c r="P6" s="20">
        <f t="shared" si="1"/>
        <v>80.073498434345666</v>
      </c>
      <c r="Q6" s="8"/>
      <c r="R6" s="8">
        <v>352</v>
      </c>
      <c r="S6" s="8">
        <v>222.3</v>
      </c>
      <c r="T6" s="8">
        <v>339</v>
      </c>
      <c r="U6" s="8">
        <v>387</v>
      </c>
      <c r="V6" s="8">
        <v>424</v>
      </c>
      <c r="W6" s="8">
        <v>306</v>
      </c>
      <c r="X6" s="8">
        <v>286</v>
      </c>
      <c r="Y6" s="8">
        <v>269.5</v>
      </c>
      <c r="Z6" s="8">
        <v>339.5</v>
      </c>
      <c r="AA6" s="8">
        <v>469.5</v>
      </c>
      <c r="AB6" s="8">
        <v>351</v>
      </c>
      <c r="AC6" s="8">
        <v>450</v>
      </c>
      <c r="AD6" s="8">
        <v>433</v>
      </c>
      <c r="AE6" s="19">
        <f t="shared" si="2"/>
        <v>356.06153846153848</v>
      </c>
      <c r="AF6" s="20">
        <f t="shared" si="3"/>
        <v>74.494066189434776</v>
      </c>
    </row>
    <row r="7" spans="2:32" x14ac:dyDescent="0.2">
      <c r="B7" s="8">
        <v>28</v>
      </c>
      <c r="C7" s="8">
        <v>357.5</v>
      </c>
      <c r="D7" s="8">
        <v>352</v>
      </c>
      <c r="E7" s="8">
        <v>362</v>
      </c>
      <c r="F7" s="8">
        <v>561.5</v>
      </c>
      <c r="G7" s="8">
        <v>512</v>
      </c>
      <c r="H7" s="8">
        <v>510.5</v>
      </c>
      <c r="I7" s="8">
        <v>600</v>
      </c>
      <c r="J7" s="8">
        <v>346</v>
      </c>
      <c r="K7" s="8">
        <v>351</v>
      </c>
      <c r="L7" s="8">
        <v>585.6</v>
      </c>
      <c r="M7" s="8">
        <v>589.29999999999995</v>
      </c>
      <c r="N7" s="8">
        <v>595.6</v>
      </c>
      <c r="O7" s="19">
        <f t="shared" si="0"/>
        <v>476.91666666666674</v>
      </c>
      <c r="P7" s="20">
        <f t="shared" si="1"/>
        <v>112.51459568617797</v>
      </c>
      <c r="Q7" s="8"/>
      <c r="R7" s="8">
        <v>318.5</v>
      </c>
      <c r="S7" s="8">
        <v>318</v>
      </c>
      <c r="T7" s="8">
        <v>319</v>
      </c>
      <c r="U7" s="8">
        <v>430.5</v>
      </c>
      <c r="V7" s="8">
        <v>453</v>
      </c>
      <c r="W7" s="8">
        <v>450.5</v>
      </c>
      <c r="X7" s="8">
        <v>421.5</v>
      </c>
      <c r="Y7" s="8">
        <v>318</v>
      </c>
      <c r="Z7" s="8">
        <v>355</v>
      </c>
      <c r="AA7" s="8">
        <v>351.5</v>
      </c>
      <c r="AB7" s="8">
        <v>436.3</v>
      </c>
      <c r="AC7" s="8">
        <v>463.5</v>
      </c>
      <c r="AD7" s="8">
        <v>515.29999999999995</v>
      </c>
      <c r="AE7" s="19">
        <f t="shared" si="2"/>
        <v>396.20000000000005</v>
      </c>
      <c r="AF7" s="20">
        <f t="shared" si="3"/>
        <v>68.457139875983472</v>
      </c>
    </row>
  </sheetData>
  <mergeCells count="2">
    <mergeCell ref="C2:Q2"/>
    <mergeCell ref="R2:AF2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709D70-44AC-6747-B8BD-3D7F2D5A4D7D}">
  <dimension ref="A2:G21"/>
  <sheetViews>
    <sheetView workbookViewId="0">
      <selection activeCell="J22" sqref="J22"/>
    </sheetView>
  </sheetViews>
  <sheetFormatPr baseColWidth="10" defaultColWidth="11" defaultRowHeight="16" x14ac:dyDescent="0.2"/>
  <cols>
    <col min="1" max="16384" width="11" style="9"/>
  </cols>
  <sheetData>
    <row r="2" spans="2:7" x14ac:dyDescent="0.2">
      <c r="B2" s="5" t="s">
        <v>268</v>
      </c>
      <c r="C2" s="5"/>
      <c r="D2" s="5"/>
      <c r="E2" s="5"/>
      <c r="F2" s="5"/>
      <c r="G2" s="5"/>
    </row>
    <row r="3" spans="2:7" x14ac:dyDescent="0.2">
      <c r="B3" s="5"/>
      <c r="C3" s="5"/>
      <c r="D3" s="5"/>
      <c r="E3" s="5"/>
      <c r="F3" s="5"/>
      <c r="G3" s="5"/>
    </row>
    <row r="4" spans="2:7" x14ac:dyDescent="0.2">
      <c r="B4" s="16" t="s">
        <v>269</v>
      </c>
      <c r="C4" s="16"/>
      <c r="D4" s="16" t="s">
        <v>270</v>
      </c>
      <c r="E4" s="16"/>
      <c r="F4" s="16" t="s">
        <v>271</v>
      </c>
      <c r="G4" s="16"/>
    </row>
    <row r="5" spans="2:7" x14ac:dyDescent="0.2">
      <c r="B5" s="7" t="s">
        <v>215</v>
      </c>
      <c r="C5" s="7" t="s">
        <v>216</v>
      </c>
      <c r="D5" s="7" t="s">
        <v>264</v>
      </c>
      <c r="E5" s="7" t="s">
        <v>265</v>
      </c>
      <c r="F5" s="7" t="s">
        <v>266</v>
      </c>
      <c r="G5" s="7" t="s">
        <v>267</v>
      </c>
    </row>
    <row r="6" spans="2:7" x14ac:dyDescent="0.2">
      <c r="B6" s="8">
        <v>0.5635</v>
      </c>
      <c r="C6" s="8">
        <v>0.60599999999999998</v>
      </c>
      <c r="D6" s="8">
        <v>0.5635</v>
      </c>
      <c r="E6" s="8">
        <v>0.60599999999999998</v>
      </c>
      <c r="F6" s="8"/>
      <c r="G6" s="8"/>
    </row>
    <row r="7" spans="2:7" x14ac:dyDescent="0.2">
      <c r="B7" s="8">
        <v>0.47289999999999999</v>
      </c>
      <c r="C7" s="8">
        <v>0.76029999999999998</v>
      </c>
      <c r="D7" s="8">
        <v>0.47289999999999999</v>
      </c>
      <c r="E7" s="8">
        <v>0.76029999999999998</v>
      </c>
      <c r="F7" s="8"/>
      <c r="G7" s="8"/>
    </row>
    <row r="8" spans="2:7" x14ac:dyDescent="0.2">
      <c r="B8" s="8">
        <v>0.14929999999999999</v>
      </c>
      <c r="C8" s="8">
        <v>0.62790000000000001</v>
      </c>
      <c r="D8" s="8">
        <v>0.14929999999999999</v>
      </c>
      <c r="E8" s="8">
        <v>0.62790000000000001</v>
      </c>
      <c r="F8" s="8"/>
      <c r="G8" s="8"/>
    </row>
    <row r="9" spans="2:7" x14ac:dyDescent="0.2">
      <c r="B9" s="8">
        <v>0.54520000000000002</v>
      </c>
      <c r="C9" s="8">
        <v>0.51329999999999998</v>
      </c>
      <c r="D9" s="8">
        <v>0.54520000000000002</v>
      </c>
      <c r="E9" s="8">
        <v>0.51329999999999998</v>
      </c>
      <c r="F9" s="8"/>
      <c r="G9" s="8"/>
    </row>
    <row r="10" spans="2:7" x14ac:dyDescent="0.2">
      <c r="B10" s="8">
        <v>0.57289999999999996</v>
      </c>
      <c r="C10" s="8">
        <v>0.59809999999999997</v>
      </c>
      <c r="D10" s="8">
        <v>0.57289999999999996</v>
      </c>
      <c r="E10" s="8">
        <v>0.59809999999999997</v>
      </c>
      <c r="F10" s="8"/>
      <c r="G10" s="8"/>
    </row>
    <row r="11" spans="2:7" x14ac:dyDescent="0.2">
      <c r="B11" s="8">
        <v>0.27800000000000002</v>
      </c>
      <c r="C11" s="8">
        <v>1.0720000000000001</v>
      </c>
      <c r="D11" s="8"/>
      <c r="E11" s="8">
        <v>1.0720000000000001</v>
      </c>
      <c r="F11" s="8"/>
      <c r="G11" s="8"/>
    </row>
    <row r="12" spans="2:7" x14ac:dyDescent="0.2">
      <c r="B12" s="8">
        <v>0.62350000000000005</v>
      </c>
      <c r="C12" s="8">
        <v>0.46939999999999998</v>
      </c>
      <c r="D12" s="8"/>
      <c r="E12" s="8"/>
      <c r="F12" s="8">
        <v>0.27800000000000002</v>
      </c>
      <c r="G12" s="8">
        <v>0.46939999999999998</v>
      </c>
    </row>
    <row r="13" spans="2:7" x14ac:dyDescent="0.2">
      <c r="B13" s="8">
        <v>0.39400000000000002</v>
      </c>
      <c r="C13" s="8">
        <v>0.51119999999999999</v>
      </c>
      <c r="D13" s="8"/>
      <c r="E13" s="8"/>
      <c r="F13" s="8">
        <v>0.62350000000000005</v>
      </c>
      <c r="G13" s="8">
        <v>0.51119999999999999</v>
      </c>
    </row>
    <row r="14" spans="2:7" x14ac:dyDescent="0.2">
      <c r="B14" s="8">
        <v>0.56469999999999998</v>
      </c>
      <c r="C14" s="8">
        <v>0.8135</v>
      </c>
      <c r="D14" s="8"/>
      <c r="E14" s="8"/>
      <c r="F14" s="8">
        <v>0.39400000000000002</v>
      </c>
      <c r="G14" s="8">
        <v>0.8135</v>
      </c>
    </row>
    <row r="15" spans="2:7" x14ac:dyDescent="0.2">
      <c r="B15" s="8">
        <v>0.38800000000000001</v>
      </c>
      <c r="C15" s="8">
        <v>0.874</v>
      </c>
      <c r="D15" s="8"/>
      <c r="E15" s="8"/>
      <c r="F15" s="8">
        <v>0.56469999999999998</v>
      </c>
      <c r="G15" s="8">
        <v>0.874</v>
      </c>
    </row>
    <row r="16" spans="2:7" x14ac:dyDescent="0.2">
      <c r="B16" s="8">
        <v>0.46129999999999999</v>
      </c>
      <c r="C16" s="8">
        <v>0.45090000000000002</v>
      </c>
      <c r="D16" s="8"/>
      <c r="E16" s="8"/>
      <c r="F16" s="8">
        <v>0.38800000000000001</v>
      </c>
      <c r="G16" s="8">
        <v>0.45090000000000002</v>
      </c>
    </row>
    <row r="17" spans="1:7" x14ac:dyDescent="0.2">
      <c r="B17" s="8"/>
      <c r="C17" s="8">
        <v>0.92620000000000002</v>
      </c>
      <c r="D17" s="8"/>
      <c r="E17" s="8"/>
      <c r="F17" s="8">
        <v>0.46129999999999999</v>
      </c>
      <c r="G17" s="8">
        <v>0.92620000000000002</v>
      </c>
    </row>
    <row r="18" spans="1:7" x14ac:dyDescent="0.2">
      <c r="B18" s="8"/>
      <c r="C18" s="8">
        <v>0.66810000000000003</v>
      </c>
      <c r="D18" s="8"/>
      <c r="E18" s="8"/>
      <c r="F18" s="8"/>
      <c r="G18" s="8">
        <v>0.66810000000000003</v>
      </c>
    </row>
    <row r="20" spans="1:7" x14ac:dyDescent="0.2">
      <c r="A20" s="17" t="s">
        <v>205</v>
      </c>
      <c r="B20" s="19">
        <f>AVERAGE(B6:B19)</f>
        <v>0.45575454545454536</v>
      </c>
      <c r="C20" s="19">
        <f t="shared" ref="C20:G20" si="0">AVERAGE(C6:C19)</f>
        <v>0.68391538461538459</v>
      </c>
      <c r="D20" s="19">
        <f t="shared" si="0"/>
        <v>0.46075999999999995</v>
      </c>
      <c r="E20" s="19">
        <f t="shared" si="0"/>
        <v>0.6962666666666667</v>
      </c>
      <c r="F20" s="19">
        <f t="shared" si="0"/>
        <v>0.45158333333333339</v>
      </c>
      <c r="G20" s="19">
        <f t="shared" si="0"/>
        <v>0.67332857142857139</v>
      </c>
    </row>
    <row r="21" spans="1:7" x14ac:dyDescent="0.2">
      <c r="A21" s="18" t="s">
        <v>206</v>
      </c>
      <c r="B21" s="20">
        <f>STDEV(B6:B19)</f>
        <v>0.14407649609590312</v>
      </c>
      <c r="C21" s="20">
        <f t="shared" ref="C21:G21" si="1">STDEV(C6:C19)</f>
        <v>0.19238559737392769</v>
      </c>
      <c r="D21" s="20">
        <f t="shared" si="1"/>
        <v>0.17847668755330492</v>
      </c>
      <c r="E21" s="20">
        <f t="shared" si="1"/>
        <v>0.20060477229285117</v>
      </c>
      <c r="F21" s="20">
        <f t="shared" si="1"/>
        <v>0.12643969972546826</v>
      </c>
      <c r="G21" s="20">
        <f t="shared" si="1"/>
        <v>0.20051407028174467</v>
      </c>
    </row>
  </sheetData>
  <mergeCells count="3">
    <mergeCell ref="B4:C4"/>
    <mergeCell ref="D4:E4"/>
    <mergeCell ref="F4:G4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4C0112-44C2-EE45-BBC5-ABFAFD540DB3}">
  <dimension ref="A2:G21"/>
  <sheetViews>
    <sheetView workbookViewId="0">
      <selection activeCell="L26" sqref="L26"/>
    </sheetView>
  </sheetViews>
  <sheetFormatPr baseColWidth="10" defaultColWidth="11" defaultRowHeight="16" x14ac:dyDescent="0.2"/>
  <cols>
    <col min="1" max="16384" width="11" style="9"/>
  </cols>
  <sheetData>
    <row r="2" spans="2:7" x14ac:dyDescent="0.2">
      <c r="B2" s="5" t="s">
        <v>272</v>
      </c>
      <c r="C2" s="5"/>
      <c r="D2" s="5"/>
      <c r="E2" s="5"/>
      <c r="F2" s="5"/>
      <c r="G2" s="5"/>
    </row>
    <row r="3" spans="2:7" x14ac:dyDescent="0.2">
      <c r="B3" s="5"/>
      <c r="C3" s="5"/>
      <c r="D3" s="5"/>
      <c r="E3" s="5"/>
      <c r="F3" s="5"/>
      <c r="G3" s="5"/>
    </row>
    <row r="4" spans="2:7" x14ac:dyDescent="0.2">
      <c r="B4" s="16" t="s">
        <v>269</v>
      </c>
      <c r="C4" s="16"/>
      <c r="D4" s="16" t="s">
        <v>270</v>
      </c>
      <c r="E4" s="16"/>
      <c r="F4" s="16" t="s">
        <v>271</v>
      </c>
      <c r="G4" s="16"/>
    </row>
    <row r="5" spans="2:7" x14ac:dyDescent="0.2">
      <c r="B5" s="7" t="s">
        <v>215</v>
      </c>
      <c r="C5" s="7" t="s">
        <v>216</v>
      </c>
      <c r="D5" s="7" t="s">
        <v>264</v>
      </c>
      <c r="E5" s="7" t="s">
        <v>265</v>
      </c>
      <c r="F5" s="7" t="s">
        <v>266</v>
      </c>
      <c r="G5" s="7" t="s">
        <v>267</v>
      </c>
    </row>
    <row r="6" spans="2:7" x14ac:dyDescent="0.2">
      <c r="B6" s="8">
        <v>0.30674847</v>
      </c>
      <c r="C6" s="8">
        <v>9.4250710000000001E-2</v>
      </c>
      <c r="D6" s="8">
        <v>0.30674847</v>
      </c>
      <c r="E6" s="8">
        <v>9.4250710000000001E-2</v>
      </c>
      <c r="F6" s="8">
        <v>0.11520737</v>
      </c>
      <c r="G6" s="8">
        <v>9.7751710000000006E-2</v>
      </c>
    </row>
    <row r="7" spans="2:7" x14ac:dyDescent="0.2">
      <c r="B7" s="8">
        <v>0.17094017</v>
      </c>
      <c r="C7" s="8">
        <v>9.4073379999999998E-2</v>
      </c>
      <c r="D7" s="8">
        <v>0.17094017</v>
      </c>
      <c r="E7" s="8">
        <v>9.4073379999999998E-2</v>
      </c>
      <c r="F7" s="8">
        <v>0.20920501999999999</v>
      </c>
      <c r="G7" s="8">
        <v>0</v>
      </c>
    </row>
    <row r="8" spans="2:7" x14ac:dyDescent="0.2">
      <c r="B8" s="8">
        <v>0.10989011</v>
      </c>
      <c r="C8" s="8">
        <v>8.1499589999999997E-2</v>
      </c>
      <c r="D8" s="8">
        <v>0.10989011</v>
      </c>
      <c r="E8" s="8">
        <v>8.1499589999999997E-2</v>
      </c>
      <c r="F8" s="8">
        <v>0.27485112</v>
      </c>
      <c r="G8" s="8">
        <v>0</v>
      </c>
    </row>
    <row r="9" spans="2:7" x14ac:dyDescent="0.2">
      <c r="B9" s="8">
        <v>0.22172949</v>
      </c>
      <c r="C9" s="8">
        <v>0.14992504000000001</v>
      </c>
      <c r="D9" s="8">
        <v>0.22172949</v>
      </c>
      <c r="E9" s="8">
        <v>0.14992504000000001</v>
      </c>
      <c r="F9" s="8">
        <v>0.46948357000000002</v>
      </c>
      <c r="G9" s="8">
        <v>0.15847860999999999</v>
      </c>
    </row>
    <row r="10" spans="2:7" x14ac:dyDescent="0.2">
      <c r="B10" s="8"/>
      <c r="C10" s="8"/>
      <c r="D10" s="8"/>
      <c r="E10" s="8"/>
      <c r="F10" s="8">
        <v>0.30303029999999997</v>
      </c>
      <c r="G10" s="8">
        <v>0.15540016000000001</v>
      </c>
    </row>
    <row r="11" spans="2:7" x14ac:dyDescent="0.2">
      <c r="B11" s="8"/>
      <c r="C11" s="8"/>
      <c r="D11" s="8"/>
      <c r="E11" s="8"/>
      <c r="F11" s="8"/>
      <c r="G11" s="8">
        <v>0.16778523000000001</v>
      </c>
    </row>
    <row r="12" spans="2:7" x14ac:dyDescent="0.2">
      <c r="B12" s="8"/>
      <c r="C12" s="8">
        <v>9.7751710000000006E-2</v>
      </c>
      <c r="D12" s="8"/>
      <c r="E12" s="8"/>
      <c r="F12" s="8"/>
      <c r="G12" s="8"/>
    </row>
    <row r="13" spans="2:7" x14ac:dyDescent="0.2">
      <c r="B13" s="8">
        <v>0.11520737</v>
      </c>
      <c r="C13" s="8">
        <v>0</v>
      </c>
      <c r="D13" s="8"/>
      <c r="E13" s="8"/>
      <c r="F13" s="8"/>
      <c r="G13" s="8"/>
    </row>
    <row r="14" spans="2:7" x14ac:dyDescent="0.2">
      <c r="B14" s="8">
        <v>0.20920501999999999</v>
      </c>
      <c r="C14" s="8">
        <v>0</v>
      </c>
      <c r="D14" s="8"/>
      <c r="E14" s="8"/>
      <c r="F14" s="8"/>
      <c r="G14" s="8"/>
    </row>
    <row r="15" spans="2:7" x14ac:dyDescent="0.2">
      <c r="B15" s="8">
        <v>0.27485112</v>
      </c>
      <c r="C15" s="8">
        <v>0.15847860999999999</v>
      </c>
      <c r="D15" s="8"/>
      <c r="E15" s="8"/>
      <c r="F15" s="8"/>
      <c r="G15" s="8"/>
    </row>
    <row r="16" spans="2:7" x14ac:dyDescent="0.2">
      <c r="B16" s="8">
        <v>0.46948357000000002</v>
      </c>
      <c r="C16" s="8">
        <v>0.15540016000000001</v>
      </c>
      <c r="D16" s="8"/>
      <c r="E16" s="8"/>
      <c r="F16" s="8"/>
      <c r="G16" s="8"/>
    </row>
    <row r="17" spans="1:7" x14ac:dyDescent="0.2">
      <c r="B17" s="8">
        <v>0.30303029999999997</v>
      </c>
      <c r="C17" s="8">
        <v>0.16778523000000001</v>
      </c>
      <c r="D17" s="8"/>
      <c r="E17" s="8"/>
      <c r="F17" s="8"/>
      <c r="G17" s="8"/>
    </row>
    <row r="18" spans="1:7" x14ac:dyDescent="0.2">
      <c r="B18" s="8"/>
      <c r="C18" s="8"/>
      <c r="D18" s="8"/>
      <c r="E18" s="8"/>
      <c r="F18" s="8"/>
      <c r="G18" s="8"/>
    </row>
    <row r="20" spans="1:7" x14ac:dyDescent="0.2">
      <c r="A20" s="17" t="s">
        <v>205</v>
      </c>
      <c r="B20" s="19">
        <f>AVERAGE(B6:B19)</f>
        <v>0.24234284666666669</v>
      </c>
      <c r="C20" s="19">
        <f t="shared" ref="C20:G20" si="0">AVERAGE(C6:C19)</f>
        <v>9.9916442999999994E-2</v>
      </c>
      <c r="D20" s="19">
        <f t="shared" si="0"/>
        <v>0.20232706</v>
      </c>
      <c r="E20" s="19">
        <f t="shared" si="0"/>
        <v>0.10493718</v>
      </c>
      <c r="F20" s="19">
        <f t="shared" si="0"/>
        <v>0.27435547600000004</v>
      </c>
      <c r="G20" s="19">
        <f t="shared" si="0"/>
        <v>9.6569285000000005E-2</v>
      </c>
    </row>
    <row r="21" spans="1:7" x14ac:dyDescent="0.2">
      <c r="A21" s="18" t="s">
        <v>206</v>
      </c>
      <c r="B21" s="20">
        <f>STDEV(B6:B19)</f>
        <v>0.11225488434958909</v>
      </c>
      <c r="C21" s="20">
        <f t="shared" ref="C21:G21" si="1">STDEV(C6:C19)</f>
        <v>6.1456128797713554E-2</v>
      </c>
      <c r="D21" s="20">
        <f t="shared" si="1"/>
        <v>8.3286677096775341E-2</v>
      </c>
      <c r="E21" s="20">
        <f t="shared" si="1"/>
        <v>3.0580227620084818E-2</v>
      </c>
      <c r="F21" s="20">
        <f t="shared" si="1"/>
        <v>0.13083402254657772</v>
      </c>
      <c r="G21" s="20">
        <f t="shared" si="1"/>
        <v>7.8763188022282785E-2</v>
      </c>
    </row>
  </sheetData>
  <mergeCells count="3">
    <mergeCell ref="B4:C4"/>
    <mergeCell ref="D4:E4"/>
    <mergeCell ref="F4:G4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19AEC-8404-2A4E-AEF7-2C7849B451F2}">
  <dimension ref="A2:G24"/>
  <sheetViews>
    <sheetView workbookViewId="0">
      <selection activeCell="G8" sqref="G8"/>
    </sheetView>
  </sheetViews>
  <sheetFormatPr baseColWidth="10" defaultColWidth="11" defaultRowHeight="16" x14ac:dyDescent="0.2"/>
  <cols>
    <col min="1" max="16384" width="11" style="9"/>
  </cols>
  <sheetData>
    <row r="2" spans="2:7" x14ac:dyDescent="0.2">
      <c r="B2" s="5" t="s">
        <v>273</v>
      </c>
      <c r="C2" s="5"/>
      <c r="D2" s="5"/>
      <c r="E2" s="5"/>
      <c r="F2" s="5"/>
      <c r="G2" s="5"/>
    </row>
    <row r="3" spans="2:7" x14ac:dyDescent="0.2">
      <c r="B3" s="5"/>
      <c r="C3" s="5"/>
      <c r="D3" s="5"/>
      <c r="E3" s="5"/>
      <c r="F3" s="5"/>
      <c r="G3" s="5"/>
    </row>
    <row r="4" spans="2:7" x14ac:dyDescent="0.2">
      <c r="B4" s="16" t="s">
        <v>269</v>
      </c>
      <c r="C4" s="16"/>
      <c r="D4" s="16" t="s">
        <v>270</v>
      </c>
      <c r="E4" s="16"/>
      <c r="F4" s="16" t="s">
        <v>271</v>
      </c>
      <c r="G4" s="16"/>
    </row>
    <row r="5" spans="2:7" x14ac:dyDescent="0.2">
      <c r="B5" s="7" t="s">
        <v>215</v>
      </c>
      <c r="C5" s="7" t="s">
        <v>216</v>
      </c>
      <c r="D5" s="7" t="s">
        <v>264</v>
      </c>
      <c r="E5" s="7" t="s">
        <v>265</v>
      </c>
      <c r="F5" s="7" t="s">
        <v>266</v>
      </c>
      <c r="G5" s="7" t="s">
        <v>267</v>
      </c>
    </row>
    <row r="6" spans="2:7" x14ac:dyDescent="0.2">
      <c r="B6" s="8">
        <v>0.87805958100000003</v>
      </c>
      <c r="C6" s="8">
        <v>0.65613459299999999</v>
      </c>
      <c r="D6" s="8">
        <v>0.87805958100000003</v>
      </c>
      <c r="E6" s="8">
        <v>0.65613459299999999</v>
      </c>
      <c r="F6" s="8">
        <v>0.576434314</v>
      </c>
      <c r="G6" s="8">
        <v>0.85772728899999995</v>
      </c>
    </row>
    <row r="7" spans="2:7" x14ac:dyDescent="0.2">
      <c r="B7" s="8">
        <v>0.834116898</v>
      </c>
      <c r="C7" s="8">
        <v>1.168890073</v>
      </c>
      <c r="D7" s="8">
        <v>0.834116898</v>
      </c>
      <c r="E7" s="8">
        <v>1.168890073</v>
      </c>
      <c r="F7" s="8">
        <v>0.473571872</v>
      </c>
      <c r="G7" s="8">
        <v>1.338185017</v>
      </c>
    </row>
    <row r="8" spans="2:7" x14ac:dyDescent="0.2">
      <c r="B8" s="8">
        <v>0.80660048399999995</v>
      </c>
      <c r="C8" s="8">
        <v>0.90943319199999995</v>
      </c>
      <c r="D8" s="8">
        <v>0.80660048399999995</v>
      </c>
      <c r="E8" s="8">
        <v>0.90943319199999995</v>
      </c>
      <c r="F8" s="8">
        <v>0.55602468800000004</v>
      </c>
      <c r="G8" s="8">
        <v>1.244457895</v>
      </c>
    </row>
    <row r="9" spans="2:7" x14ac:dyDescent="0.2">
      <c r="B9" s="8">
        <v>0.49366558599999999</v>
      </c>
      <c r="C9" s="8">
        <v>0.89692831100000003</v>
      </c>
      <c r="D9" s="8">
        <v>0.49366558599999999</v>
      </c>
      <c r="E9" s="8">
        <v>0.89692831100000003</v>
      </c>
      <c r="F9" s="8">
        <v>1.0838427470000001</v>
      </c>
      <c r="G9" s="8">
        <v>0.81673124699999999</v>
      </c>
    </row>
    <row r="10" spans="2:7" x14ac:dyDescent="0.2">
      <c r="B10" s="8">
        <v>0.62440844399999995</v>
      </c>
      <c r="C10" s="8">
        <v>1.1207378750000001</v>
      </c>
      <c r="D10" s="8">
        <v>0.62440844399999995</v>
      </c>
      <c r="E10" s="8">
        <v>1.1207378750000001</v>
      </c>
      <c r="F10" s="57"/>
      <c r="G10" s="8">
        <v>1.1935724050000001</v>
      </c>
    </row>
    <row r="11" spans="2:7" x14ac:dyDescent="0.2">
      <c r="B11" s="8">
        <v>0.495942151</v>
      </c>
      <c r="C11" s="8">
        <v>0.52227236099999996</v>
      </c>
      <c r="D11" s="8">
        <v>0.495942151</v>
      </c>
      <c r="E11" s="8">
        <v>0.52227236099999996</v>
      </c>
      <c r="F11" s="8">
        <v>0.88881031700000002</v>
      </c>
      <c r="G11" s="8">
        <v>0.82853827899999999</v>
      </c>
    </row>
    <row r="12" spans="2:7" x14ac:dyDescent="0.2">
      <c r="B12" s="8"/>
      <c r="C12" s="8">
        <v>0.47240511299999999</v>
      </c>
      <c r="D12" s="8"/>
      <c r="E12" s="8">
        <v>0.47240511299999999</v>
      </c>
      <c r="F12" s="8"/>
      <c r="G12" s="57"/>
    </row>
    <row r="13" spans="2:7" x14ac:dyDescent="0.2">
      <c r="B13" s="8"/>
      <c r="C13" s="8"/>
      <c r="D13" s="8"/>
      <c r="E13" s="8"/>
      <c r="F13" s="8"/>
      <c r="G13" s="8"/>
    </row>
    <row r="14" spans="2:7" x14ac:dyDescent="0.2">
      <c r="B14" s="8">
        <v>0.576434314</v>
      </c>
      <c r="C14" s="8">
        <v>0.85772728899999995</v>
      </c>
      <c r="D14" s="8"/>
      <c r="E14" s="8"/>
      <c r="F14" s="8"/>
      <c r="G14" s="8"/>
    </row>
    <row r="15" spans="2:7" x14ac:dyDescent="0.2">
      <c r="B15" s="8">
        <v>0.473571872</v>
      </c>
      <c r="C15" s="8">
        <v>1.338185017</v>
      </c>
      <c r="D15" s="8"/>
      <c r="E15" s="8"/>
      <c r="F15" s="8"/>
      <c r="G15" s="8"/>
    </row>
    <row r="16" spans="2:7" x14ac:dyDescent="0.2">
      <c r="B16" s="8">
        <v>0.55602468800000004</v>
      </c>
      <c r="C16" s="8">
        <v>1.244457895</v>
      </c>
      <c r="D16" s="8"/>
      <c r="E16" s="8"/>
      <c r="F16" s="8"/>
      <c r="G16" s="8"/>
    </row>
    <row r="17" spans="1:7" x14ac:dyDescent="0.2">
      <c r="B17" s="8">
        <v>1.0838427470000001</v>
      </c>
      <c r="C17" s="8">
        <v>0.81673124699999999</v>
      </c>
      <c r="D17" s="8"/>
      <c r="E17" s="8"/>
      <c r="F17" s="8"/>
      <c r="G17" s="8"/>
    </row>
    <row r="18" spans="1:7" x14ac:dyDescent="0.2">
      <c r="B18" s="57"/>
      <c r="C18" s="8">
        <v>1.1935724050000001</v>
      </c>
      <c r="D18" s="8"/>
      <c r="E18" s="8"/>
      <c r="F18" s="8"/>
      <c r="G18" s="8"/>
    </row>
    <row r="19" spans="1:7" x14ac:dyDescent="0.2">
      <c r="B19" s="8">
        <v>0.88881031700000002</v>
      </c>
      <c r="C19" s="8">
        <v>0.82853827899999999</v>
      </c>
      <c r="D19" s="8"/>
      <c r="E19" s="8"/>
      <c r="F19" s="8"/>
      <c r="G19" s="8"/>
    </row>
    <row r="20" spans="1:7" x14ac:dyDescent="0.2">
      <c r="B20" s="8"/>
      <c r="C20" s="57"/>
      <c r="D20" s="8"/>
      <c r="E20" s="8"/>
      <c r="F20" s="8"/>
      <c r="G20" s="8"/>
    </row>
    <row r="23" spans="1:7" x14ac:dyDescent="0.2">
      <c r="A23" s="17" t="s">
        <v>205</v>
      </c>
      <c r="B23" s="19">
        <f>AVERAGE(B6:B22)</f>
        <v>0.7010433710909092</v>
      </c>
      <c r="C23" s="19">
        <f t="shared" ref="C23:G23" si="0">AVERAGE(C6:C22)</f>
        <v>0.92507797307692285</v>
      </c>
      <c r="D23" s="19">
        <f t="shared" si="0"/>
        <v>0.68879885733333346</v>
      </c>
      <c r="E23" s="19">
        <f t="shared" si="0"/>
        <v>0.82097164542857137</v>
      </c>
      <c r="F23" s="19">
        <f t="shared" si="0"/>
        <v>0.71573678760000004</v>
      </c>
      <c r="G23" s="19">
        <f t="shared" si="0"/>
        <v>1.0465353553333334</v>
      </c>
    </row>
    <row r="24" spans="1:7" x14ac:dyDescent="0.2">
      <c r="A24" s="18" t="s">
        <v>206</v>
      </c>
      <c r="B24" s="20">
        <f>STDEV(B6:B21)</f>
        <v>0.20523729708026159</v>
      </c>
      <c r="C24" s="20">
        <f t="shared" ref="C24:G24" si="1">STDEV(C6:C21)</f>
        <v>0.27516740139221979</v>
      </c>
      <c r="D24" s="20">
        <f t="shared" si="1"/>
        <v>0.17333840070773068</v>
      </c>
      <c r="E24" s="20">
        <f t="shared" si="1"/>
        <v>0.27760674487559556</v>
      </c>
      <c r="F24" s="20">
        <f t="shared" si="1"/>
        <v>0.25933252022357378</v>
      </c>
      <c r="G24" s="20">
        <f t="shared" si="1"/>
        <v>0.23741688661186436</v>
      </c>
    </row>
  </sheetData>
  <mergeCells count="3">
    <mergeCell ref="B4:C4"/>
    <mergeCell ref="D4:E4"/>
    <mergeCell ref="F4:G4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466A35-848C-DC44-BDE3-82500B68820D}">
  <dimension ref="A1:G59"/>
  <sheetViews>
    <sheetView topLeftCell="A45" workbookViewId="0">
      <selection activeCell="E50" sqref="E50"/>
    </sheetView>
  </sheetViews>
  <sheetFormatPr baseColWidth="10" defaultColWidth="11" defaultRowHeight="16" x14ac:dyDescent="0.2"/>
  <cols>
    <col min="1" max="4" width="11" style="9"/>
    <col min="5" max="5" width="0.6640625" style="9" customWidth="1"/>
    <col min="6" max="16384" width="11" style="9"/>
  </cols>
  <sheetData>
    <row r="1" spans="2:7" x14ac:dyDescent="0.2">
      <c r="B1" s="9" t="s">
        <v>165</v>
      </c>
      <c r="F1" s="9" t="s">
        <v>166</v>
      </c>
    </row>
    <row r="2" spans="2:7" x14ac:dyDescent="0.2">
      <c r="B2" s="9" t="s">
        <v>167</v>
      </c>
      <c r="C2" s="9" t="s">
        <v>168</v>
      </c>
      <c r="F2" s="9" t="s">
        <v>167</v>
      </c>
      <c r="G2" s="9" t="s">
        <v>168</v>
      </c>
    </row>
    <row r="3" spans="2:7" x14ac:dyDescent="0.2">
      <c r="B3" s="38">
        <v>33.57</v>
      </c>
      <c r="C3" s="38">
        <v>34.149000000000001</v>
      </c>
      <c r="F3" s="22">
        <v>0.41731412304364585</v>
      </c>
      <c r="G3" s="22">
        <v>0.64334966088922385</v>
      </c>
    </row>
    <row r="4" spans="2:7" x14ac:dyDescent="0.2">
      <c r="B4" s="38">
        <v>18.673999999999999</v>
      </c>
      <c r="C4" s="38">
        <v>40.392000000000003</v>
      </c>
      <c r="F4" s="22">
        <v>0.40192849917134804</v>
      </c>
      <c r="G4" s="22">
        <v>0.50505151545463645</v>
      </c>
    </row>
    <row r="5" spans="2:7" x14ac:dyDescent="0.2">
      <c r="B5" s="38">
        <v>25.498999999999999</v>
      </c>
      <c r="C5" s="38">
        <v>32.125</v>
      </c>
      <c r="F5" s="22">
        <v>0.47773302107728333</v>
      </c>
      <c r="G5" s="22">
        <v>0.59556915090841678</v>
      </c>
    </row>
    <row r="6" spans="2:7" x14ac:dyDescent="0.2">
      <c r="B6" s="38">
        <v>27.459</v>
      </c>
      <c r="C6" s="38">
        <v>41.043999999999997</v>
      </c>
      <c r="F6" s="22">
        <v>0.57932824169796193</v>
      </c>
      <c r="G6" s="22">
        <v>0.51757228786522236</v>
      </c>
    </row>
    <row r="7" spans="2:7" x14ac:dyDescent="0.2">
      <c r="B7" s="38">
        <v>25.274999999999999</v>
      </c>
      <c r="C7" s="38">
        <v>34.749000000000002</v>
      </c>
      <c r="F7" s="22">
        <v>0.40569823434991975</v>
      </c>
      <c r="G7" s="22">
        <v>0.4720754255593746</v>
      </c>
    </row>
    <row r="8" spans="2:7" x14ac:dyDescent="0.2">
      <c r="B8" s="38">
        <v>48.186</v>
      </c>
      <c r="C8" s="38">
        <v>40.585000000000001</v>
      </c>
      <c r="F8" s="22">
        <v>0.44470900935821472</v>
      </c>
      <c r="G8" s="22">
        <v>0.54826072272880777</v>
      </c>
    </row>
    <row r="9" spans="2:7" x14ac:dyDescent="0.2">
      <c r="B9" s="38">
        <v>39.893000000000001</v>
      </c>
      <c r="C9" s="38"/>
      <c r="F9" s="22">
        <v>0.42320953078090023</v>
      </c>
      <c r="G9" s="22"/>
    </row>
    <row r="10" spans="2:7" x14ac:dyDescent="0.2">
      <c r="B10" s="38">
        <v>26.850999999999999</v>
      </c>
      <c r="C10" s="38">
        <v>63.642000000000003</v>
      </c>
      <c r="F10" s="22">
        <v>0.51411120471777583</v>
      </c>
      <c r="G10" s="22">
        <v>0.74902902337405564</v>
      </c>
    </row>
    <row r="11" spans="2:7" x14ac:dyDescent="0.2">
      <c r="B11" s="38">
        <v>38.432000000000002</v>
      </c>
      <c r="C11" s="38">
        <v>60.139000000000003</v>
      </c>
      <c r="F11" s="22">
        <v>0.50063830341557458</v>
      </c>
      <c r="G11" s="22">
        <v>0.42976074777040935</v>
      </c>
    </row>
    <row r="12" spans="2:7" x14ac:dyDescent="0.2">
      <c r="B12" s="38">
        <v>31.55</v>
      </c>
      <c r="C12" s="38">
        <v>55.716999999999999</v>
      </c>
      <c r="F12" s="22">
        <v>0.54538539992048263</v>
      </c>
      <c r="G12" s="22">
        <v>0.59704035490023788</v>
      </c>
    </row>
    <row r="13" spans="2:7" x14ac:dyDescent="0.2">
      <c r="B13" s="38"/>
      <c r="C13" s="38">
        <v>62.491</v>
      </c>
      <c r="F13" s="22"/>
      <c r="G13" s="22">
        <v>0.68653322200738265</v>
      </c>
    </row>
    <row r="14" spans="2:7" x14ac:dyDescent="0.2">
      <c r="B14" s="38">
        <v>42.329000000000001</v>
      </c>
      <c r="C14" s="38">
        <v>54.31</v>
      </c>
      <c r="F14" s="22">
        <v>0.34989006265602013</v>
      </c>
      <c r="G14" s="22">
        <v>0.4888916894714101</v>
      </c>
    </row>
    <row r="15" spans="2:7" x14ac:dyDescent="0.2">
      <c r="B15" s="38">
        <v>43.871000000000002</v>
      </c>
      <c r="C15" s="38">
        <v>50.712000000000003</v>
      </c>
      <c r="F15" s="22">
        <v>0.41808582619385704</v>
      </c>
      <c r="G15" s="22">
        <v>0.62858842778521495</v>
      </c>
    </row>
    <row r="16" spans="2:7" x14ac:dyDescent="0.2">
      <c r="B16" s="38">
        <v>32.889000000000003</v>
      </c>
      <c r="C16" s="38">
        <v>58.941000000000003</v>
      </c>
      <c r="F16" s="22">
        <v>0.35807294501905285</v>
      </c>
      <c r="G16" s="22">
        <v>0.60986486766136205</v>
      </c>
    </row>
    <row r="17" spans="2:7" x14ac:dyDescent="0.2">
      <c r="B17" s="38">
        <v>45.991999999999997</v>
      </c>
      <c r="C17" s="38">
        <v>57.84</v>
      </c>
      <c r="F17" s="22">
        <v>0.37469855960372805</v>
      </c>
      <c r="G17" s="22">
        <v>0.74394196635283227</v>
      </c>
    </row>
    <row r="18" spans="2:7" x14ac:dyDescent="0.2">
      <c r="B18" s="38">
        <v>36.200000000000003</v>
      </c>
      <c r="C18" s="38">
        <v>55.106000000000002</v>
      </c>
      <c r="F18" s="22">
        <v>0.48355641046191666</v>
      </c>
      <c r="G18" s="22">
        <v>0.57068588767721951</v>
      </c>
    </row>
    <row r="19" spans="2:7" x14ac:dyDescent="0.2">
      <c r="B19" s="38">
        <v>44.094000000000001</v>
      </c>
      <c r="C19" s="38"/>
      <c r="F19" s="22">
        <v>0.35354960791545725</v>
      </c>
      <c r="G19" s="22"/>
    </row>
    <row r="20" spans="2:7" x14ac:dyDescent="0.2">
      <c r="B20" s="38">
        <v>39.698</v>
      </c>
      <c r="C20" s="38">
        <v>20.398</v>
      </c>
      <c r="F20" s="22">
        <v>0.28476127625387354</v>
      </c>
      <c r="G20" s="22">
        <v>0.61983044152055666</v>
      </c>
    </row>
    <row r="21" spans="2:7" x14ac:dyDescent="0.2">
      <c r="B21" s="38">
        <v>44.55</v>
      </c>
      <c r="C21" s="38">
        <v>40.344000000000001</v>
      </c>
      <c r="F21" s="22">
        <v>0.29969324327960606</v>
      </c>
      <c r="G21" s="22">
        <v>0.58098241672786965</v>
      </c>
    </row>
    <row r="22" spans="2:7" x14ac:dyDescent="0.2">
      <c r="B22" s="38">
        <v>46.093000000000004</v>
      </c>
      <c r="C22" s="38">
        <v>26.571999999999999</v>
      </c>
      <c r="F22" s="22">
        <v>0.34959460586892382</v>
      </c>
      <c r="G22" s="22">
        <v>0.42217985382904355</v>
      </c>
    </row>
    <row r="23" spans="2:7" x14ac:dyDescent="0.2">
      <c r="B23" s="38">
        <v>57.094999999999999</v>
      </c>
      <c r="C23" s="38">
        <v>16.792000000000002</v>
      </c>
      <c r="F23" s="22">
        <v>0.36914552460754646</v>
      </c>
      <c r="G23" s="22">
        <v>0.4082466206360012</v>
      </c>
    </row>
    <row r="24" spans="2:7" x14ac:dyDescent="0.2">
      <c r="B24" s="38"/>
      <c r="C24" s="38">
        <v>22.109000000000002</v>
      </c>
      <c r="G24" s="22">
        <v>0.32729345235451734</v>
      </c>
    </row>
    <row r="25" spans="2:7" x14ac:dyDescent="0.2">
      <c r="B25" s="38">
        <v>48.692</v>
      </c>
      <c r="C25" s="38">
        <v>22.66</v>
      </c>
      <c r="F25" s="22">
        <v>0.31427575612841596</v>
      </c>
      <c r="G25" s="22">
        <v>0.40057983312119927</v>
      </c>
    </row>
    <row r="26" spans="2:7" x14ac:dyDescent="0.2">
      <c r="B26" s="38">
        <v>48.17</v>
      </c>
      <c r="C26" s="38">
        <v>24.978999999999999</v>
      </c>
      <c r="F26" s="22">
        <v>0.36781381000740671</v>
      </c>
      <c r="G26" s="22">
        <v>0.46561783510727534</v>
      </c>
    </row>
    <row r="27" spans="2:7" x14ac:dyDescent="0.2">
      <c r="B27" s="38">
        <v>43.658000000000001</v>
      </c>
      <c r="C27" s="38">
        <v>26.434000000000001</v>
      </c>
      <c r="F27" s="22">
        <v>0.32761518835359449</v>
      </c>
      <c r="G27" s="22">
        <v>0.67497382733702738</v>
      </c>
    </row>
    <row r="28" spans="2:7" x14ac:dyDescent="0.2">
      <c r="B28" s="38">
        <v>50.825000000000003</v>
      </c>
      <c r="C28" s="38">
        <v>19.209</v>
      </c>
      <c r="F28" s="22">
        <v>0.34786864151563268</v>
      </c>
      <c r="G28" s="22">
        <v>0.33918985732448087</v>
      </c>
    </row>
    <row r="29" spans="2:7" x14ac:dyDescent="0.2">
      <c r="B29" s="38">
        <v>50.869</v>
      </c>
      <c r="C29" s="38"/>
      <c r="F29" s="22">
        <v>0.30899736372140485</v>
      </c>
      <c r="G29" s="22"/>
    </row>
    <row r="30" spans="2:7" x14ac:dyDescent="0.2">
      <c r="B30" s="38">
        <v>51.554000000000002</v>
      </c>
      <c r="C30" s="38">
        <v>11.03</v>
      </c>
      <c r="F30" s="22">
        <v>0.34409937059063028</v>
      </c>
      <c r="G30" s="22">
        <v>0.11717712549532035</v>
      </c>
    </row>
    <row r="31" spans="2:7" x14ac:dyDescent="0.2">
      <c r="B31" s="38">
        <v>42.381999999999998</v>
      </c>
      <c r="C31" s="38">
        <v>32.091999999999999</v>
      </c>
      <c r="F31" s="22">
        <v>0.33448558891309149</v>
      </c>
      <c r="G31" s="22">
        <v>0.4290087560991912</v>
      </c>
    </row>
    <row r="32" spans="2:7" x14ac:dyDescent="0.2">
      <c r="B32" s="38">
        <v>52.905999999999999</v>
      </c>
      <c r="C32" s="38">
        <v>27.013999999999999</v>
      </c>
      <c r="F32" s="22">
        <v>0.68652920337905343</v>
      </c>
      <c r="G32" s="22">
        <v>0.45920310056435709</v>
      </c>
    </row>
    <row r="33" spans="2:7" x14ac:dyDescent="0.2">
      <c r="B33" s="38">
        <v>43.759</v>
      </c>
      <c r="C33" s="38">
        <v>28.126999999999999</v>
      </c>
      <c r="F33" s="22">
        <v>0.35778878859236002</v>
      </c>
      <c r="G33" s="22">
        <v>0.38599404410654736</v>
      </c>
    </row>
    <row r="34" spans="2:7" x14ac:dyDescent="0.2">
      <c r="B34" s="38">
        <v>40.621000000000002</v>
      </c>
      <c r="C34" s="38">
        <v>27.698</v>
      </c>
      <c r="F34" s="22">
        <v>0.35614648815942906</v>
      </c>
      <c r="G34" s="22">
        <v>0.38311939803031975</v>
      </c>
    </row>
    <row r="35" spans="2:7" x14ac:dyDescent="0.2">
      <c r="B35" s="38"/>
      <c r="C35" s="38">
        <v>28.073</v>
      </c>
      <c r="F35" s="22"/>
      <c r="G35" s="22">
        <v>0.29970747747363025</v>
      </c>
    </row>
    <row r="36" spans="2:7" x14ac:dyDescent="0.2">
      <c r="B36" s="38">
        <v>67.66</v>
      </c>
      <c r="C36" s="38">
        <v>30.856000000000002</v>
      </c>
      <c r="F36" s="22">
        <v>1.144723039962102</v>
      </c>
      <c r="G36" s="22">
        <v>0.43373019777624716</v>
      </c>
    </row>
    <row r="37" spans="2:7" x14ac:dyDescent="0.2">
      <c r="B37" s="38">
        <v>67.959999999999994</v>
      </c>
      <c r="C37" s="38">
        <v>29.097999999999999</v>
      </c>
      <c r="F37" s="22">
        <v>0.93908910015476454</v>
      </c>
      <c r="G37" s="22">
        <v>0.2256271081301128</v>
      </c>
    </row>
    <row r="38" spans="2:7" x14ac:dyDescent="0.2">
      <c r="B38" s="38">
        <v>79.894999999999996</v>
      </c>
      <c r="C38" s="38"/>
      <c r="F38" s="22">
        <v>0.91093071248589053</v>
      </c>
      <c r="G38" s="22"/>
    </row>
    <row r="39" spans="2:7" x14ac:dyDescent="0.2">
      <c r="B39" s="38">
        <v>83.012</v>
      </c>
      <c r="C39" s="38">
        <v>9.9640000000000004</v>
      </c>
      <c r="F39" s="22">
        <v>0.8138032449389736</v>
      </c>
      <c r="G39" s="22">
        <v>0.2353385767259501</v>
      </c>
    </row>
    <row r="40" spans="2:7" x14ac:dyDescent="0.2">
      <c r="B40" s="38">
        <v>67.966999999999999</v>
      </c>
      <c r="C40" s="38">
        <v>14.084</v>
      </c>
      <c r="F40" s="22">
        <v>0.86380793818232648</v>
      </c>
      <c r="G40" s="22">
        <v>0.31866416272597686</v>
      </c>
    </row>
    <row r="41" spans="2:7" x14ac:dyDescent="0.2">
      <c r="B41" s="38">
        <v>76.165000000000006</v>
      </c>
      <c r="C41" s="38">
        <v>12.337</v>
      </c>
      <c r="F41" s="22">
        <v>0.90319941182051044</v>
      </c>
      <c r="G41" s="22">
        <v>0.18910757533952605</v>
      </c>
    </row>
    <row r="42" spans="2:7" x14ac:dyDescent="0.2">
      <c r="B42" s="38">
        <v>67.418000000000006</v>
      </c>
      <c r="C42" s="38">
        <v>13.372</v>
      </c>
      <c r="F42" s="22">
        <v>0.84589711417816815</v>
      </c>
      <c r="G42" s="22">
        <v>0.25261169358647395</v>
      </c>
    </row>
    <row r="43" spans="2:7" x14ac:dyDescent="0.2">
      <c r="B43" s="38">
        <v>71.998999999999995</v>
      </c>
      <c r="C43" s="38">
        <v>14.603999999999999</v>
      </c>
      <c r="F43" s="22">
        <v>1.247773040795813</v>
      </c>
      <c r="G43" s="22">
        <v>0.18230844131525728</v>
      </c>
    </row>
    <row r="44" spans="2:7" x14ac:dyDescent="0.2">
      <c r="B44" s="38">
        <v>70.73</v>
      </c>
      <c r="C44" s="38">
        <v>7.4690000000000003</v>
      </c>
      <c r="F44" s="22">
        <v>1.0256968009513037</v>
      </c>
      <c r="G44" s="22">
        <v>0.27578185577668651</v>
      </c>
    </row>
    <row r="45" spans="2:7" x14ac:dyDescent="0.2">
      <c r="B45" s="38">
        <v>62.709000000000003</v>
      </c>
      <c r="C45" s="38">
        <v>6.89</v>
      </c>
      <c r="F45" s="22">
        <v>0.80171058182794475</v>
      </c>
      <c r="G45" s="22">
        <v>7.1189452802116041E-2</v>
      </c>
    </row>
    <row r="46" spans="2:7" x14ac:dyDescent="0.2">
      <c r="B46" s="38"/>
      <c r="C46" s="38">
        <v>8.3650000000000002</v>
      </c>
      <c r="F46" s="22"/>
      <c r="G46" s="22">
        <v>0.38879851266558213</v>
      </c>
    </row>
    <row r="47" spans="2:7" x14ac:dyDescent="0.2">
      <c r="B47" s="38">
        <v>40.729999999999997</v>
      </c>
      <c r="C47" s="38">
        <v>11.305999999999999</v>
      </c>
      <c r="F47" s="22">
        <v>0.85184255657338848</v>
      </c>
      <c r="G47" s="22">
        <v>0.13570185440796975</v>
      </c>
    </row>
    <row r="48" spans="2:7" x14ac:dyDescent="0.2">
      <c r="B48" s="38">
        <v>44.213000000000001</v>
      </c>
      <c r="C48" s="38">
        <v>9.6289999999999996</v>
      </c>
      <c r="F48" s="22">
        <v>0.77026132404181191</v>
      </c>
      <c r="G48" s="22">
        <v>0.18517663801226944</v>
      </c>
    </row>
    <row r="49" spans="1:7" x14ac:dyDescent="0.2">
      <c r="B49" s="38">
        <v>46.29</v>
      </c>
      <c r="F49" s="22">
        <v>0.54075207644591894</v>
      </c>
    </row>
    <row r="50" spans="1:7" x14ac:dyDescent="0.2">
      <c r="B50" s="38">
        <v>63.872999999999998</v>
      </c>
      <c r="F50" s="22">
        <v>0.52258539578645935</v>
      </c>
    </row>
    <row r="51" spans="1:7" x14ac:dyDescent="0.2">
      <c r="B51" s="38">
        <v>43.488</v>
      </c>
      <c r="F51" s="22">
        <v>0.71027487872997208</v>
      </c>
    </row>
    <row r="52" spans="1:7" x14ac:dyDescent="0.2">
      <c r="B52" s="38">
        <v>59.136000000000003</v>
      </c>
      <c r="F52" s="22">
        <v>0.91217029153169837</v>
      </c>
    </row>
    <row r="53" spans="1:7" x14ac:dyDescent="0.2">
      <c r="B53" s="38">
        <v>37.418999999999997</v>
      </c>
      <c r="F53" s="22">
        <v>0.68661235274688981</v>
      </c>
    </row>
    <row r="54" spans="1:7" x14ac:dyDescent="0.2">
      <c r="B54" s="38">
        <v>29.152999999999999</v>
      </c>
      <c r="F54" s="22">
        <v>0.61595182759349254</v>
      </c>
    </row>
    <row r="55" spans="1:7" x14ac:dyDescent="0.2">
      <c r="B55" s="38">
        <v>30.503</v>
      </c>
      <c r="F55" s="22">
        <v>0.57271873826511455</v>
      </c>
    </row>
    <row r="56" spans="1:7" x14ac:dyDescent="0.2">
      <c r="B56" s="38">
        <v>34.566000000000003</v>
      </c>
      <c r="F56" s="22">
        <v>0.62592351151673198</v>
      </c>
    </row>
    <row r="58" spans="1:7" x14ac:dyDescent="0.2">
      <c r="A58" s="17" t="s">
        <v>205</v>
      </c>
      <c r="B58" s="19">
        <f>AVERAGE(B3:B56)</f>
        <v>47.330439999999996</v>
      </c>
      <c r="C58" s="19">
        <f>AVERAGE(C3:C56)</f>
        <v>30.558261904761913</v>
      </c>
      <c r="F58" s="19">
        <f>AVERAGE(F3:F56)</f>
        <v>0.56804895534566768</v>
      </c>
      <c r="G58" s="19">
        <f>AVERAGE(G3:G56)</f>
        <v>0.42841321569993596</v>
      </c>
    </row>
    <row r="59" spans="1:7" x14ac:dyDescent="0.2">
      <c r="A59" s="18" t="s">
        <v>206</v>
      </c>
      <c r="B59" s="20">
        <f>STDEV(B3:B56)</f>
        <v>15.300683043523497</v>
      </c>
      <c r="C59" s="20">
        <f>STDEV(C3:C56)</f>
        <v>17.243544210217699</v>
      </c>
      <c r="F59" s="20">
        <f>STDEV(F3:F56)</f>
        <v>0.24714620369610349</v>
      </c>
      <c r="G59" s="20">
        <f>STDEV(G3:G56)</f>
        <v>0.1777094411704343</v>
      </c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2ABA42-12C1-224F-9E72-476492D178EF}">
  <dimension ref="A1:G59"/>
  <sheetViews>
    <sheetView workbookViewId="0">
      <selection activeCell="F44" sqref="F44"/>
    </sheetView>
  </sheetViews>
  <sheetFormatPr baseColWidth="10" defaultColWidth="11" defaultRowHeight="16" x14ac:dyDescent="0.2"/>
  <cols>
    <col min="1" max="4" width="11" style="9"/>
    <col min="5" max="5" width="0.6640625" style="9" customWidth="1"/>
    <col min="6" max="16384" width="11" style="9"/>
  </cols>
  <sheetData>
    <row r="1" spans="2:7" x14ac:dyDescent="0.2">
      <c r="B1" s="9" t="s">
        <v>169</v>
      </c>
      <c r="F1" s="9" t="s">
        <v>170</v>
      </c>
    </row>
    <row r="2" spans="2:7" x14ac:dyDescent="0.2">
      <c r="B2" s="9" t="s">
        <v>167</v>
      </c>
      <c r="C2" s="9" t="s">
        <v>168</v>
      </c>
      <c r="F2" s="9" t="s">
        <v>167</v>
      </c>
      <c r="G2" s="9" t="s">
        <v>168</v>
      </c>
    </row>
    <row r="3" spans="2:7" x14ac:dyDescent="0.2">
      <c r="B3" s="38">
        <v>31.312999999999999</v>
      </c>
      <c r="C3" s="38">
        <v>73.599999999999994</v>
      </c>
      <c r="F3" s="22">
        <v>0.3177662089891517</v>
      </c>
      <c r="G3" s="22">
        <v>0.35435553993481012</v>
      </c>
    </row>
    <row r="4" spans="2:7" x14ac:dyDescent="0.2">
      <c r="B4" s="38">
        <v>21.651</v>
      </c>
      <c r="C4" s="38">
        <v>39.957999999999998</v>
      </c>
      <c r="F4" s="22">
        <v>0.34331245540315547</v>
      </c>
      <c r="G4" s="22">
        <v>0.2517388236480016</v>
      </c>
    </row>
    <row r="5" spans="2:7" x14ac:dyDescent="0.2">
      <c r="B5" s="38">
        <v>30.564</v>
      </c>
      <c r="C5" s="38">
        <v>42.698999999999998</v>
      </c>
      <c r="F5" s="22">
        <v>0.27349356622581739</v>
      </c>
      <c r="G5" s="22">
        <v>0.33923903803220856</v>
      </c>
    </row>
    <row r="6" spans="2:7" x14ac:dyDescent="0.2">
      <c r="B6" s="38">
        <v>32.511000000000003</v>
      </c>
      <c r="C6" s="38">
        <v>33.463000000000001</v>
      </c>
      <c r="F6" s="22">
        <v>0.28074887090785056</v>
      </c>
      <c r="G6" s="22">
        <v>0.48082477189453265</v>
      </c>
    </row>
    <row r="7" spans="2:7" x14ac:dyDescent="0.2">
      <c r="B7" s="38">
        <v>27.815000000000001</v>
      </c>
      <c r="C7" s="38">
        <v>40.633000000000003</v>
      </c>
      <c r="F7" s="22">
        <v>0.26633026293111706</v>
      </c>
      <c r="G7" s="22">
        <v>0.41304193138500639</v>
      </c>
    </row>
    <row r="8" spans="2:7" x14ac:dyDescent="0.2">
      <c r="B8" s="38">
        <v>23.004000000000001</v>
      </c>
      <c r="C8" s="38">
        <v>52.826000000000001</v>
      </c>
      <c r="F8" s="22">
        <v>0.32415522926471835</v>
      </c>
      <c r="G8" s="22">
        <v>0.34914508165841601</v>
      </c>
    </row>
    <row r="9" spans="2:7" x14ac:dyDescent="0.2">
      <c r="B9" s="38">
        <v>24.47</v>
      </c>
      <c r="C9" s="38">
        <v>39.398000000000003</v>
      </c>
      <c r="F9" s="22">
        <v>0.29612508168550472</v>
      </c>
      <c r="G9" s="22">
        <v>0.29924046787179098</v>
      </c>
    </row>
    <row r="10" spans="2:7" x14ac:dyDescent="0.2">
      <c r="B10" s="38">
        <v>26.513000000000002</v>
      </c>
      <c r="C10" s="38">
        <v>30.692</v>
      </c>
      <c r="F10" s="22">
        <v>0.27686925647451965</v>
      </c>
      <c r="G10" s="22">
        <v>0.27219113330199807</v>
      </c>
    </row>
    <row r="11" spans="2:7" x14ac:dyDescent="0.2">
      <c r="B11" s="38">
        <v>32.640999999999998</v>
      </c>
      <c r="C11" s="38">
        <v>37.976999999999997</v>
      </c>
      <c r="F11" s="22">
        <v>0.28580309610535165</v>
      </c>
      <c r="G11" s="22">
        <v>0.31589585759441025</v>
      </c>
    </row>
    <row r="12" spans="2:7" x14ac:dyDescent="0.2">
      <c r="B12" s="58"/>
      <c r="C12" s="38"/>
      <c r="F12" s="22"/>
      <c r="G12" s="22"/>
    </row>
    <row r="13" spans="2:7" x14ac:dyDescent="0.2">
      <c r="B13" s="38">
        <v>48.106999999999999</v>
      </c>
      <c r="C13" s="38">
        <v>88.430999999999997</v>
      </c>
      <c r="F13" s="22">
        <v>0.36800152992924079</v>
      </c>
      <c r="G13" s="22">
        <v>0.45784299005420742</v>
      </c>
    </row>
    <row r="14" spans="2:7" x14ac:dyDescent="0.2">
      <c r="B14" s="38">
        <v>36.164000000000001</v>
      </c>
      <c r="C14" s="38">
        <v>69.400999999999996</v>
      </c>
      <c r="F14" s="22">
        <v>0.36364367665838776</v>
      </c>
      <c r="G14" s="22">
        <v>0.57783606011406685</v>
      </c>
    </row>
    <row r="15" spans="2:7" x14ac:dyDescent="0.2">
      <c r="B15" s="38">
        <v>51.225000000000001</v>
      </c>
      <c r="C15" s="38">
        <v>55.493000000000002</v>
      </c>
      <c r="F15" s="22">
        <v>0.31271939195995235</v>
      </c>
      <c r="G15" s="22">
        <v>0.37472735989843947</v>
      </c>
    </row>
    <row r="16" spans="2:7" x14ac:dyDescent="0.2">
      <c r="B16" s="38">
        <v>41.393999999999998</v>
      </c>
      <c r="C16" s="38">
        <v>54.874000000000002</v>
      </c>
      <c r="F16" s="22">
        <v>0.33389528365047227</v>
      </c>
      <c r="G16" s="22">
        <v>0.37910022936413634</v>
      </c>
    </row>
    <row r="17" spans="2:7" x14ac:dyDescent="0.2">
      <c r="B17" s="38">
        <v>22.78</v>
      </c>
      <c r="C17" s="38">
        <v>58.503</v>
      </c>
      <c r="F17" s="22">
        <v>0.46063008047882881</v>
      </c>
      <c r="G17" s="22">
        <v>0.38605903430799993</v>
      </c>
    </row>
    <row r="18" spans="2:7" x14ac:dyDescent="0.2">
      <c r="B18" s="38">
        <v>37.79</v>
      </c>
      <c r="C18" s="38">
        <v>69.89</v>
      </c>
      <c r="F18" s="22">
        <v>0.28409688914282277</v>
      </c>
      <c r="G18" s="22">
        <v>0.36958694468094105</v>
      </c>
    </row>
    <row r="19" spans="2:7" x14ac:dyDescent="0.2">
      <c r="B19" s="38">
        <v>28.605</v>
      </c>
      <c r="C19" s="38">
        <v>48.511000000000003</v>
      </c>
      <c r="F19" s="22">
        <v>0.258868778280543</v>
      </c>
      <c r="G19" s="22">
        <v>0.34796861102344129</v>
      </c>
    </row>
    <row r="20" spans="2:7" x14ac:dyDescent="0.2">
      <c r="B20" s="38">
        <v>28.925999999999998</v>
      </c>
      <c r="C20" s="38">
        <v>52.448</v>
      </c>
      <c r="F20" s="22">
        <v>0.22740387261106437</v>
      </c>
      <c r="G20" s="22">
        <v>0.35834437900547961</v>
      </c>
    </row>
    <row r="21" spans="2:7" x14ac:dyDescent="0.2">
      <c r="B21" s="38">
        <v>29.879000000000001</v>
      </c>
      <c r="C21" s="38">
        <v>70.034999999999997</v>
      </c>
      <c r="F21" s="22">
        <v>0.22646929525368747</v>
      </c>
      <c r="G21" s="22">
        <v>0.45982482863670981</v>
      </c>
    </row>
    <row r="22" spans="2:7" x14ac:dyDescent="0.2">
      <c r="B22" s="38">
        <v>31.783999999999999</v>
      </c>
      <c r="C22" s="38">
        <v>48.177</v>
      </c>
      <c r="F22" s="22">
        <v>0.24709440181604744</v>
      </c>
      <c r="G22" s="22">
        <v>0.66165382555312924</v>
      </c>
    </row>
    <row r="23" spans="2:7" x14ac:dyDescent="0.2">
      <c r="B23" s="38"/>
      <c r="C23" s="38"/>
      <c r="F23" s="22"/>
      <c r="G23" s="22"/>
    </row>
    <row r="24" spans="2:7" x14ac:dyDescent="0.2">
      <c r="B24" s="38">
        <v>64.820999999999998</v>
      </c>
      <c r="C24" s="38">
        <v>62.317999999999998</v>
      </c>
      <c r="F24" s="22">
        <v>0.33286261541147594</v>
      </c>
      <c r="G24" s="22">
        <v>0.284185948943389</v>
      </c>
    </row>
    <row r="25" spans="2:7" x14ac:dyDescent="0.2">
      <c r="B25" s="38">
        <v>72.856999999999999</v>
      </c>
      <c r="C25" s="38">
        <v>39.073999999999998</v>
      </c>
      <c r="F25" s="22">
        <v>0.34881004246599612</v>
      </c>
      <c r="G25" s="22">
        <v>0.24249984484577669</v>
      </c>
    </row>
    <row r="26" spans="2:7" x14ac:dyDescent="0.2">
      <c r="B26" s="38">
        <v>77.63</v>
      </c>
      <c r="C26" s="38">
        <v>72.783000000000001</v>
      </c>
      <c r="F26" s="22">
        <v>0.48734399718755489</v>
      </c>
      <c r="G26" s="22">
        <v>0.31520618779936427</v>
      </c>
    </row>
    <row r="27" spans="2:7" x14ac:dyDescent="0.2">
      <c r="B27" s="38">
        <v>67.402000000000001</v>
      </c>
      <c r="C27" s="38">
        <v>83.037000000000006</v>
      </c>
      <c r="F27" s="22">
        <v>0.43327783598927772</v>
      </c>
      <c r="G27" s="22">
        <v>0.36999888604210762</v>
      </c>
    </row>
    <row r="28" spans="2:7" x14ac:dyDescent="0.2">
      <c r="B28" s="38">
        <v>50.981000000000002</v>
      </c>
      <c r="C28" s="38">
        <v>71.251000000000005</v>
      </c>
      <c r="F28" s="22">
        <v>0.31510210640822783</v>
      </c>
      <c r="G28" s="22">
        <v>0.30960926772461023</v>
      </c>
    </row>
    <row r="29" spans="2:7" x14ac:dyDescent="0.2">
      <c r="B29" s="38">
        <v>47.414000000000001</v>
      </c>
      <c r="C29" s="38">
        <v>50.055</v>
      </c>
      <c r="F29" s="22">
        <v>0.33036280404958163</v>
      </c>
      <c r="G29" s="22">
        <v>0.25802211397200958</v>
      </c>
    </row>
    <row r="30" spans="2:7" x14ac:dyDescent="0.2">
      <c r="B30" s="38">
        <v>67.134</v>
      </c>
      <c r="C30" s="38">
        <v>50.890999999999998</v>
      </c>
      <c r="F30" s="22">
        <v>0.3418941836126686</v>
      </c>
      <c r="G30" s="22">
        <v>0.26912785040402759</v>
      </c>
    </row>
    <row r="31" spans="2:7" x14ac:dyDescent="0.2">
      <c r="B31" s="38">
        <v>36.03</v>
      </c>
      <c r="C31" s="38">
        <v>86.32</v>
      </c>
      <c r="F31" s="22">
        <v>0.27106938112219564</v>
      </c>
      <c r="G31" s="22">
        <v>0.40649296219031511</v>
      </c>
    </row>
    <row r="32" spans="2:7" x14ac:dyDescent="0.2">
      <c r="B32" s="38">
        <v>32.006</v>
      </c>
      <c r="C32" s="38">
        <v>51.762</v>
      </c>
      <c r="F32" s="22">
        <v>0.33893171806167399</v>
      </c>
      <c r="G32" s="22">
        <v>0.27757400257400261</v>
      </c>
    </row>
    <row r="33" spans="2:7" x14ac:dyDescent="0.2">
      <c r="B33" s="38"/>
      <c r="C33" s="38">
        <v>38.945</v>
      </c>
      <c r="F33" s="22"/>
      <c r="G33" s="22">
        <v>0.26531641085382218</v>
      </c>
    </row>
    <row r="34" spans="2:7" x14ac:dyDescent="0.2">
      <c r="B34" s="38"/>
      <c r="C34" s="38"/>
      <c r="F34" s="22"/>
      <c r="G34" s="22"/>
    </row>
    <row r="35" spans="2:7" x14ac:dyDescent="0.2">
      <c r="B35" s="38"/>
      <c r="C35" s="38">
        <v>53.136000000000003</v>
      </c>
      <c r="F35" s="22"/>
      <c r="G35" s="22">
        <v>0.39458793126494485</v>
      </c>
    </row>
    <row r="36" spans="2:7" x14ac:dyDescent="0.2">
      <c r="B36" s="38"/>
      <c r="C36" s="38">
        <v>41.725000000000001</v>
      </c>
      <c r="F36" s="22"/>
      <c r="G36" s="22">
        <v>0.32587981692934909</v>
      </c>
    </row>
    <row r="37" spans="2:7" x14ac:dyDescent="0.2">
      <c r="B37" s="38"/>
      <c r="C37" s="38">
        <v>39.091999999999999</v>
      </c>
      <c r="F37" s="22"/>
      <c r="G37" s="22">
        <v>0.35416157058860831</v>
      </c>
    </row>
    <row r="38" spans="2:7" x14ac:dyDescent="0.2">
      <c r="B38" s="38"/>
      <c r="C38" s="38">
        <v>31.323</v>
      </c>
      <c r="F38" s="22"/>
      <c r="G38" s="22">
        <v>0.30800318593468834</v>
      </c>
    </row>
    <row r="39" spans="2:7" x14ac:dyDescent="0.2">
      <c r="B39" s="38"/>
      <c r="C39" s="38">
        <v>15.914999999999999</v>
      </c>
      <c r="F39" s="22"/>
      <c r="G39" s="22">
        <v>7.8308362240755769E-2</v>
      </c>
    </row>
    <row r="40" spans="2:7" x14ac:dyDescent="0.2">
      <c r="B40" s="38"/>
      <c r="C40" s="38">
        <v>65.194000000000003</v>
      </c>
      <c r="F40" s="22"/>
      <c r="G40" s="22">
        <v>0.33698259107637596</v>
      </c>
    </row>
    <row r="41" spans="2:7" x14ac:dyDescent="0.2">
      <c r="B41" s="38"/>
      <c r="C41" s="38">
        <v>59.41</v>
      </c>
      <c r="F41" s="22"/>
      <c r="G41" s="22">
        <v>0.30335678761450552</v>
      </c>
    </row>
    <row r="42" spans="2:7" x14ac:dyDescent="0.2">
      <c r="B42" s="38"/>
      <c r="C42" s="38">
        <v>49.899000000000001</v>
      </c>
      <c r="F42" s="22"/>
      <c r="G42" s="22">
        <v>0.3125857435492661</v>
      </c>
    </row>
    <row r="43" spans="2:7" x14ac:dyDescent="0.2">
      <c r="B43" s="38"/>
      <c r="C43" s="38">
        <v>34.308999999999997</v>
      </c>
      <c r="F43" s="22"/>
      <c r="G43" s="22">
        <v>0.36809072182645264</v>
      </c>
    </row>
    <row r="44" spans="2:7" x14ac:dyDescent="0.2">
      <c r="B44" s="38"/>
      <c r="C44" s="38"/>
      <c r="F44" s="22"/>
      <c r="G44" s="22"/>
    </row>
    <row r="45" spans="2:7" x14ac:dyDescent="0.2">
      <c r="B45" s="38"/>
      <c r="C45" s="38">
        <v>20.664000000000001</v>
      </c>
      <c r="F45" s="22"/>
      <c r="G45" s="22">
        <v>1.2425736620565244</v>
      </c>
    </row>
    <row r="46" spans="2:7" x14ac:dyDescent="0.2">
      <c r="B46" s="38"/>
      <c r="C46" s="38">
        <v>22.222000000000001</v>
      </c>
      <c r="F46" s="22"/>
      <c r="G46" s="22">
        <v>0.46949209836896816</v>
      </c>
    </row>
    <row r="47" spans="2:7" x14ac:dyDescent="0.2">
      <c r="B47" s="38"/>
      <c r="C47" s="38">
        <v>20.975999999999999</v>
      </c>
      <c r="F47" s="22"/>
      <c r="G47" s="22">
        <v>0.51035254616675996</v>
      </c>
    </row>
    <row r="48" spans="2:7" x14ac:dyDescent="0.2">
      <c r="B48" s="38"/>
      <c r="C48" s="38">
        <v>24.045999999999999</v>
      </c>
      <c r="F48" s="22"/>
      <c r="G48" s="22">
        <v>0.32623767077753812</v>
      </c>
    </row>
    <row r="49" spans="1:7" x14ac:dyDescent="0.2">
      <c r="B49" s="38"/>
      <c r="C49" s="38">
        <v>23</v>
      </c>
      <c r="F49" s="22"/>
      <c r="G49" s="22">
        <v>0.35830568148182768</v>
      </c>
    </row>
    <row r="50" spans="1:7" x14ac:dyDescent="0.2">
      <c r="B50" s="38"/>
      <c r="C50" s="38">
        <v>21.178999999999998</v>
      </c>
      <c r="F50" s="22"/>
      <c r="G50" s="22">
        <v>0.4012922295696989</v>
      </c>
    </row>
    <row r="51" spans="1:7" x14ac:dyDescent="0.2">
      <c r="B51" s="38"/>
      <c r="C51" s="38">
        <v>22.413</v>
      </c>
      <c r="F51" s="22"/>
      <c r="G51" s="22">
        <v>0.38295145830129684</v>
      </c>
    </row>
    <row r="52" spans="1:7" x14ac:dyDescent="0.2">
      <c r="B52" s="38"/>
      <c r="C52" s="38">
        <v>22.140999999999998</v>
      </c>
      <c r="F52" s="22"/>
      <c r="G52" s="22">
        <v>0.35507409070498425</v>
      </c>
    </row>
    <row r="53" spans="1:7" x14ac:dyDescent="0.2">
      <c r="B53" s="38"/>
      <c r="C53" s="38">
        <v>20.344999999999999</v>
      </c>
      <c r="F53" s="22"/>
      <c r="G53" s="22">
        <v>0.37507835256812067</v>
      </c>
    </row>
    <row r="54" spans="1:7" x14ac:dyDescent="0.2">
      <c r="B54" s="38"/>
      <c r="C54" s="38">
        <v>22.555</v>
      </c>
      <c r="F54" s="22"/>
      <c r="G54" s="22">
        <v>0.50675144352827517</v>
      </c>
    </row>
    <row r="55" spans="1:7" x14ac:dyDescent="0.2">
      <c r="B55" s="38"/>
      <c r="C55" s="38">
        <v>18.734999999999999</v>
      </c>
      <c r="F55" s="22"/>
      <c r="G55" s="22">
        <v>0.59795097663730368</v>
      </c>
    </row>
    <row r="58" spans="1:7" x14ac:dyDescent="0.2">
      <c r="A58" s="17" t="s">
        <v>205</v>
      </c>
      <c r="B58" s="19">
        <f>AVERAGE(B3:B56)</f>
        <v>40.12182142857143</v>
      </c>
      <c r="C58" s="19">
        <f>AVERAGE(C3:C56)</f>
        <v>45.749469387755099</v>
      </c>
      <c r="F58" s="19">
        <f>AVERAGE(F3:F56)</f>
        <v>0.31953863971703161</v>
      </c>
      <c r="G58" s="19">
        <f>AVERAGE(G3:G56)</f>
        <v>0.38274831233664081</v>
      </c>
    </row>
    <row r="59" spans="1:7" x14ac:dyDescent="0.2">
      <c r="A59" s="18" t="s">
        <v>206</v>
      </c>
      <c r="B59" s="20">
        <f>STDEV(B3:B56)</f>
        <v>16.395191020435259</v>
      </c>
      <c r="C59" s="20">
        <f>STDEV(C3:C56)</f>
        <v>19.642690639164453</v>
      </c>
      <c r="F59" s="20">
        <f>STDEV(F3:F56)</f>
        <v>6.3196708434243257E-2</v>
      </c>
      <c r="G59" s="20">
        <f>STDEV(G3:G56)</f>
        <v>0.15967291997119196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8D439B-56C7-7E46-AABE-E5F44D216667}">
  <dimension ref="A1:T18"/>
  <sheetViews>
    <sheetView zoomScale="81" zoomScaleNormal="74" workbookViewId="0">
      <selection sqref="A1:XFD1048576"/>
    </sheetView>
  </sheetViews>
  <sheetFormatPr baseColWidth="10" defaultColWidth="11" defaultRowHeight="16" x14ac:dyDescent="0.2"/>
  <cols>
    <col min="1" max="7" width="11" style="9"/>
    <col min="8" max="8" width="1.1640625" style="9" customWidth="1"/>
    <col min="9" max="14" width="11" style="9"/>
    <col min="15" max="15" width="1.1640625" style="9" customWidth="1"/>
    <col min="16" max="16384" width="11" style="9"/>
  </cols>
  <sheetData>
    <row r="1" spans="1:20" x14ac:dyDescent="0.2">
      <c r="B1" s="5" t="s">
        <v>0</v>
      </c>
      <c r="I1" s="5" t="s">
        <v>6</v>
      </c>
      <c r="J1" s="5"/>
      <c r="K1" s="5"/>
      <c r="L1" s="5"/>
      <c r="M1" s="5"/>
      <c r="N1" s="5"/>
      <c r="P1" s="5" t="s">
        <v>7</v>
      </c>
      <c r="Q1" s="5"/>
      <c r="R1" s="5"/>
      <c r="S1" s="5"/>
      <c r="T1" s="5"/>
    </row>
    <row r="2" spans="1:20" x14ac:dyDescent="0.2"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/>
      <c r="I2" s="5" t="s">
        <v>1</v>
      </c>
      <c r="J2" s="5" t="s">
        <v>2</v>
      </c>
      <c r="K2" s="5" t="s">
        <v>3</v>
      </c>
      <c r="L2" s="5" t="s">
        <v>4</v>
      </c>
      <c r="M2" s="5" t="s">
        <v>5</v>
      </c>
      <c r="N2" s="5"/>
      <c r="P2" s="5" t="s">
        <v>1</v>
      </c>
      <c r="Q2" s="5" t="s">
        <v>2</v>
      </c>
      <c r="R2" s="5" t="s">
        <v>3</v>
      </c>
      <c r="S2" s="5" t="s">
        <v>4</v>
      </c>
      <c r="T2" s="5" t="s">
        <v>5</v>
      </c>
    </row>
    <row r="3" spans="1:20" x14ac:dyDescent="0.2">
      <c r="B3" s="23">
        <v>0.21049999999999999</v>
      </c>
      <c r="C3" s="23">
        <v>0.23019999999999999</v>
      </c>
      <c r="D3" s="24">
        <v>0.51690000000000003</v>
      </c>
      <c r="E3" s="24">
        <v>0.16800000000000001</v>
      </c>
      <c r="F3" s="24">
        <v>0.26600000000000001</v>
      </c>
      <c r="G3" s="24"/>
      <c r="H3" s="25"/>
      <c r="I3" s="23">
        <v>0.16039999999999999</v>
      </c>
      <c r="J3" s="23">
        <f>33.32/100</f>
        <v>0.3332</v>
      </c>
      <c r="K3" s="24">
        <f>22.44/100</f>
        <v>0.22440000000000002</v>
      </c>
      <c r="L3" s="24">
        <f>36.8/100</f>
        <v>0.36799999999999999</v>
      </c>
      <c r="M3" s="24">
        <f>1.52/100</f>
        <v>1.52E-2</v>
      </c>
      <c r="N3" s="25"/>
      <c r="O3" s="25"/>
      <c r="P3" s="23">
        <f>50.15/100</f>
        <v>0.50149999999999995</v>
      </c>
      <c r="Q3" s="23">
        <f>69.03/100</f>
        <v>0.69030000000000002</v>
      </c>
      <c r="R3" s="24">
        <f>45.73/100</f>
        <v>0.45729999999999998</v>
      </c>
      <c r="S3" s="24">
        <f>32.3/100</f>
        <v>0.32299999999999995</v>
      </c>
      <c r="T3" s="24">
        <f>14.27/100</f>
        <v>0.14269999999999999</v>
      </c>
    </row>
    <row r="4" spans="1:20" x14ac:dyDescent="0.2">
      <c r="B4" s="23">
        <v>0.19239999999999999</v>
      </c>
      <c r="C4" s="23">
        <v>0.19220000000000001</v>
      </c>
      <c r="D4" s="24">
        <v>8.2000000000000003E-2</v>
      </c>
      <c r="E4" s="24">
        <v>4.8000000000000001E-2</v>
      </c>
      <c r="F4" s="24">
        <v>0.245</v>
      </c>
      <c r="G4" s="24"/>
      <c r="H4" s="25"/>
      <c r="I4" s="23">
        <v>0.28120000000000001</v>
      </c>
      <c r="J4" s="23">
        <f>5.71/100</f>
        <v>5.7099999999999998E-2</v>
      </c>
      <c r="K4" s="24">
        <f>8.92/100</f>
        <v>8.9200000000000002E-2</v>
      </c>
      <c r="L4" s="24">
        <f>47.31/100</f>
        <v>0.47310000000000002</v>
      </c>
      <c r="M4" s="24">
        <f>2.06/100</f>
        <v>2.06E-2</v>
      </c>
      <c r="N4" s="25"/>
      <c r="O4" s="25"/>
      <c r="P4" s="23">
        <f>61.78/100</f>
        <v>0.61780000000000002</v>
      </c>
      <c r="Q4" s="23">
        <f>56.39/100</f>
        <v>0.56389999999999996</v>
      </c>
      <c r="R4" s="24">
        <f>49.41/100</f>
        <v>0.49409999999999998</v>
      </c>
      <c r="S4" s="24">
        <f>39.39/100</f>
        <v>0.39390000000000003</v>
      </c>
      <c r="T4" s="24">
        <f>12.2/100</f>
        <v>0.122</v>
      </c>
    </row>
    <row r="5" spans="1:20" x14ac:dyDescent="0.2">
      <c r="B5" s="23">
        <v>0.11899999999999999</v>
      </c>
      <c r="C5" s="23">
        <v>0.13469999999999999</v>
      </c>
      <c r="D5" s="24">
        <v>0.113</v>
      </c>
      <c r="E5" s="24">
        <v>0.28999999999999998</v>
      </c>
      <c r="F5" s="24">
        <v>8.6499999999999994E-2</v>
      </c>
      <c r="G5" s="24"/>
      <c r="H5" s="25"/>
      <c r="I5" s="23">
        <f>34.63/100</f>
        <v>0.34630000000000005</v>
      </c>
      <c r="J5" s="23">
        <f>76.18/100</f>
        <v>0.76180000000000003</v>
      </c>
      <c r="K5" s="24">
        <f>15.82/100</f>
        <v>0.15820000000000001</v>
      </c>
      <c r="L5" s="24">
        <f>11.19/100</f>
        <v>0.1119</v>
      </c>
      <c r="M5" s="24">
        <f>8.51/100</f>
        <v>8.5099999999999995E-2</v>
      </c>
      <c r="N5" s="25"/>
      <c r="O5" s="25"/>
      <c r="P5" s="23">
        <f>64.98/100</f>
        <v>0.64980000000000004</v>
      </c>
      <c r="Q5" s="23">
        <f>52.52/100</f>
        <v>0.5252</v>
      </c>
      <c r="R5" s="24">
        <f>38.24/100</f>
        <v>0.38240000000000002</v>
      </c>
      <c r="S5" s="24">
        <f>25.98/100</f>
        <v>0.25980000000000003</v>
      </c>
      <c r="T5" s="24">
        <f>15.47/100</f>
        <v>0.1547</v>
      </c>
    </row>
    <row r="6" spans="1:20" x14ac:dyDescent="0.2">
      <c r="B6" s="23">
        <v>0.188</v>
      </c>
      <c r="C6" s="23">
        <v>0.14030000000000001</v>
      </c>
      <c r="D6" s="24">
        <v>0.21</v>
      </c>
      <c r="E6" s="24">
        <v>0.152</v>
      </c>
      <c r="F6" s="24">
        <v>0.16800000000000001</v>
      </c>
      <c r="G6" s="24"/>
      <c r="H6" s="25"/>
      <c r="I6" s="23">
        <f>17.12/100</f>
        <v>0.17120000000000002</v>
      </c>
      <c r="J6" s="23">
        <f>23.01/100</f>
        <v>0.23010000000000003</v>
      </c>
      <c r="K6" s="24">
        <f>21.81/100</f>
        <v>0.21809999999999999</v>
      </c>
      <c r="L6" s="24">
        <f>24.05/100</f>
        <v>0.24050000000000002</v>
      </c>
      <c r="M6" s="24">
        <f>1.04/100</f>
        <v>1.04E-2</v>
      </c>
      <c r="N6" s="25"/>
      <c r="O6" s="25"/>
      <c r="P6" s="23">
        <f>102.98/100</f>
        <v>1.0298</v>
      </c>
      <c r="Q6" s="23">
        <f>69.09/100</f>
        <v>0.69090000000000007</v>
      </c>
      <c r="R6" s="24">
        <f>36.9/100</f>
        <v>0.36899999999999999</v>
      </c>
      <c r="S6" s="24">
        <f>78.03/100</f>
        <v>0.78029999999999999</v>
      </c>
      <c r="T6" s="24">
        <f>13.32/100</f>
        <v>0.13320000000000001</v>
      </c>
    </row>
    <row r="7" spans="1:20" x14ac:dyDescent="0.2">
      <c r="B7" s="23">
        <v>0.19500000000000001</v>
      </c>
      <c r="C7" s="23">
        <v>0.12540000000000001</v>
      </c>
      <c r="D7" s="25"/>
      <c r="E7" s="24">
        <v>0.33</v>
      </c>
      <c r="F7" s="24">
        <v>0.17699999999999999</v>
      </c>
      <c r="G7" s="24"/>
      <c r="H7" s="25"/>
      <c r="I7" s="23">
        <f>24.76/100</f>
        <v>0.24760000000000001</v>
      </c>
      <c r="J7" s="23">
        <f>24.66/100</f>
        <v>0.24660000000000001</v>
      </c>
      <c r="K7" s="24">
        <f>16.4/100</f>
        <v>0.16399999999999998</v>
      </c>
      <c r="L7" s="24">
        <f>21.2/100</f>
        <v>0.21199999999999999</v>
      </c>
      <c r="M7" s="24">
        <f>0.73/100</f>
        <v>7.3000000000000001E-3</v>
      </c>
      <c r="N7" s="25"/>
      <c r="O7" s="25"/>
      <c r="P7" s="23">
        <f>55.63/100</f>
        <v>0.55630000000000002</v>
      </c>
      <c r="Q7" s="23"/>
      <c r="R7" s="24">
        <f>56.12/100</f>
        <v>0.56119999999999992</v>
      </c>
      <c r="S7" s="24">
        <f>92.69/100</f>
        <v>0.92689999999999995</v>
      </c>
      <c r="T7" s="24">
        <f>17.26/100</f>
        <v>0.1726</v>
      </c>
    </row>
    <row r="8" spans="1:20" x14ac:dyDescent="0.2">
      <c r="B8" s="25"/>
      <c r="C8" s="25"/>
      <c r="D8" s="25"/>
      <c r="E8" s="25"/>
      <c r="F8" s="25"/>
      <c r="G8" s="25"/>
      <c r="H8" s="25"/>
      <c r="I8" s="23">
        <f>20.26/100</f>
        <v>0.2026</v>
      </c>
      <c r="J8" s="23">
        <f>11.06/100</f>
        <v>0.1106</v>
      </c>
      <c r="K8" s="24">
        <f>34.17/100</f>
        <v>0.3417</v>
      </c>
      <c r="L8" s="24">
        <f>8.81/100</f>
        <v>8.8100000000000012E-2</v>
      </c>
      <c r="M8" s="25"/>
      <c r="N8" s="25"/>
      <c r="O8" s="25"/>
      <c r="P8" s="23">
        <f>70.93/100</f>
        <v>0.70930000000000004</v>
      </c>
      <c r="Q8" s="23"/>
      <c r="R8" s="24">
        <f>36.94/100</f>
        <v>0.36939999999999995</v>
      </c>
      <c r="S8" s="24">
        <f>59.75/100</f>
        <v>0.59750000000000003</v>
      </c>
      <c r="T8" s="24">
        <f>7.3/100</f>
        <v>7.2999999999999995E-2</v>
      </c>
    </row>
    <row r="9" spans="1:20" x14ac:dyDescent="0.2">
      <c r="B9" s="25"/>
      <c r="C9" s="25"/>
      <c r="D9" s="25"/>
      <c r="E9" s="25"/>
      <c r="F9" s="25"/>
      <c r="G9" s="25"/>
      <c r="H9" s="25"/>
      <c r="I9" s="23">
        <f>27.58/100</f>
        <v>0.27579999999999999</v>
      </c>
      <c r="J9" s="23"/>
      <c r="K9" s="25"/>
      <c r="L9" s="25"/>
      <c r="M9" s="25"/>
      <c r="N9" s="25"/>
      <c r="O9" s="25"/>
      <c r="P9" s="23">
        <f>90.07/100</f>
        <v>0.90069999999999995</v>
      </c>
      <c r="Q9" s="23"/>
      <c r="R9" s="24">
        <f>46.64/100</f>
        <v>0.46639999999999998</v>
      </c>
      <c r="S9" s="24"/>
      <c r="T9" s="24">
        <f>5.68857356/100</f>
        <v>5.6885735600000001E-2</v>
      </c>
    </row>
    <row r="10" spans="1:20" x14ac:dyDescent="0.2"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3">
        <f>61.26/100</f>
        <v>0.61260000000000003</v>
      </c>
      <c r="Q10" s="23"/>
      <c r="R10" s="25"/>
      <c r="S10" s="24"/>
      <c r="T10" s="24">
        <f>0.40370555/100</f>
        <v>4.0370555000000001E-3</v>
      </c>
    </row>
    <row r="13" spans="1:20" x14ac:dyDescent="0.2">
      <c r="A13" s="17" t="s">
        <v>205</v>
      </c>
      <c r="B13" s="19">
        <f>AVERAGE(B3:B11)</f>
        <v>0.18098</v>
      </c>
      <c r="C13" s="19">
        <f>AVERAGE(C3:C11)</f>
        <v>0.16455999999999998</v>
      </c>
      <c r="D13" s="19">
        <f>AVERAGE(D3:D11)</f>
        <v>0.23047499999999999</v>
      </c>
      <c r="E13" s="19">
        <f>AVERAGE(E3:E11)</f>
        <v>0.1976</v>
      </c>
      <c r="F13" s="19">
        <f>AVERAGE(F3:F11)</f>
        <v>0.18850000000000003</v>
      </c>
      <c r="I13" s="19">
        <f>AVERAGE(I3:I11)</f>
        <v>0.24072857142857143</v>
      </c>
      <c r="J13" s="19">
        <f>AVERAGE(J3:J11)</f>
        <v>0.28989999999999999</v>
      </c>
      <c r="K13" s="19">
        <f>AVERAGE(K3:K11)</f>
        <v>0.19926666666666662</v>
      </c>
      <c r="L13" s="19">
        <f>AVERAGE(L3:L11)</f>
        <v>0.24893333333333334</v>
      </c>
      <c r="M13" s="19">
        <f>AVERAGE(M3:M11)</f>
        <v>2.7720000000000002E-2</v>
      </c>
      <c r="P13" s="19">
        <f>AVERAGE(P3:P11)</f>
        <v>0.69722499999999998</v>
      </c>
      <c r="Q13" s="19">
        <f>AVERAGE(Q3:Q11)</f>
        <v>0.61757499999999999</v>
      </c>
      <c r="R13" s="19">
        <f>AVERAGE(R3:R11)</f>
        <v>0.44282857142857146</v>
      </c>
      <c r="S13" s="19">
        <f>AVERAGE(S3:S11)</f>
        <v>0.54690000000000005</v>
      </c>
      <c r="T13" s="19">
        <f>AVERAGE(T3:T11)</f>
        <v>0.10739034888749999</v>
      </c>
    </row>
    <row r="14" spans="1:20" x14ac:dyDescent="0.2">
      <c r="A14" s="18" t="s">
        <v>206</v>
      </c>
      <c r="B14" s="20">
        <f>STDEV(B3:B11)</f>
        <v>3.5669342578746654E-2</v>
      </c>
      <c r="C14" s="20">
        <f>STDEV(C3:C11)</f>
        <v>4.4961794892997814E-2</v>
      </c>
      <c r="D14" s="20">
        <f>STDEV(D3:D11)</f>
        <v>0.19858139179355819</v>
      </c>
      <c r="E14" s="20">
        <f>STDEV(E3:E11)</f>
        <v>0.11336136908135859</v>
      </c>
      <c r="F14" s="20">
        <f>STDEV(F3:F11)</f>
        <v>7.0984153161110453E-2</v>
      </c>
      <c r="I14" s="20">
        <f>STDEV(I3:I11)</f>
        <v>6.6834589704376723E-2</v>
      </c>
      <c r="J14" s="20">
        <f>STDEV(J3:J11)</f>
        <v>0.25153916593644032</v>
      </c>
      <c r="K14" s="20">
        <f>STDEV(K3:K11)</f>
        <v>8.5227358674704268E-2</v>
      </c>
      <c r="L14" s="20">
        <f>STDEV(L3:L11)</f>
        <v>0.14866623916231506</v>
      </c>
      <c r="M14" s="20">
        <f>STDEV(M3:M11)</f>
        <v>3.2468708012484873E-2</v>
      </c>
      <c r="P14" s="20">
        <f>STDEV(P3:P11)</f>
        <v>0.17969855512575975</v>
      </c>
      <c r="Q14" s="20">
        <f>STDEV(Q3:Q11)</f>
        <v>8.5789718692471428E-2</v>
      </c>
      <c r="R14" s="20">
        <f>STDEV(R3:R11)</f>
        <v>7.2915035355901506E-2</v>
      </c>
      <c r="S14" s="20">
        <f>STDEV(S3:S11)</f>
        <v>0.26735838868455197</v>
      </c>
      <c r="T14" s="20">
        <f>STDEV(T3:T11)</f>
        <v>5.7361221916691414E-2</v>
      </c>
    </row>
    <row r="18" spans="1:1" x14ac:dyDescent="0.2">
      <c r="A18" s="26" t="s">
        <v>10</v>
      </c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E0BEEC-BF66-134F-86B5-C1CCF77D87FB}">
  <dimension ref="A1:F13"/>
  <sheetViews>
    <sheetView workbookViewId="0">
      <selection activeCell="L16" sqref="L16"/>
    </sheetView>
  </sheetViews>
  <sheetFormatPr baseColWidth="10" defaultColWidth="11" defaultRowHeight="16" x14ac:dyDescent="0.2"/>
  <cols>
    <col min="1" max="3" width="11" style="9"/>
    <col min="4" max="4" width="1.5" style="9" customWidth="1"/>
    <col min="5" max="16384" width="11" style="9"/>
  </cols>
  <sheetData>
    <row r="1" spans="1:6" x14ac:dyDescent="0.2">
      <c r="B1" s="9" t="s">
        <v>171</v>
      </c>
      <c r="E1" s="9" t="s">
        <v>172</v>
      </c>
    </row>
    <row r="2" spans="1:6" s="31" customFormat="1" ht="34" x14ac:dyDescent="0.2">
      <c r="B2" s="31" t="s">
        <v>104</v>
      </c>
      <c r="C2" s="31" t="s">
        <v>173</v>
      </c>
      <c r="E2" s="31" t="s">
        <v>104</v>
      </c>
      <c r="F2" s="31" t="s">
        <v>173</v>
      </c>
    </row>
    <row r="3" spans="1:6" x14ac:dyDescent="0.2">
      <c r="A3" s="9" t="s">
        <v>174</v>
      </c>
      <c r="B3" s="22">
        <v>2.3497381585160779</v>
      </c>
      <c r="C3" s="22">
        <v>0.42557933375501195</v>
      </c>
      <c r="E3" s="22" t="s">
        <v>175</v>
      </c>
      <c r="F3" s="22">
        <v>2.3429616389892316</v>
      </c>
    </row>
    <row r="4" spans="1:6" x14ac:dyDescent="0.2">
      <c r="A4" s="9" t="s">
        <v>176</v>
      </c>
      <c r="B4" s="22">
        <v>1.542210825407937</v>
      </c>
      <c r="C4" s="22">
        <v>0.64841977732550482</v>
      </c>
      <c r="E4" s="22">
        <v>0.50639439210807369</v>
      </c>
      <c r="F4" s="22">
        <v>3.1347129366105317</v>
      </c>
    </row>
    <row r="5" spans="1:6" x14ac:dyDescent="0.2">
      <c r="A5" s="9" t="s">
        <v>177</v>
      </c>
      <c r="B5" s="22">
        <v>1.377927516925705</v>
      </c>
      <c r="C5" s="22">
        <v>0.72572757834976742</v>
      </c>
      <c r="E5" s="22">
        <v>0.47412301558724823</v>
      </c>
      <c r="F5" s="22">
        <v>4.9018737701165165</v>
      </c>
    </row>
    <row r="6" spans="1:6" x14ac:dyDescent="0.2">
      <c r="A6" s="9" t="s">
        <v>178</v>
      </c>
      <c r="B6" s="22">
        <v>1.5883182356387213</v>
      </c>
      <c r="C6" s="22">
        <v>0.62959675055160513</v>
      </c>
      <c r="E6" s="22">
        <v>0.53341612147267892</v>
      </c>
      <c r="F6" s="22">
        <v>3.3249515845711528</v>
      </c>
    </row>
    <row r="7" spans="1:6" x14ac:dyDescent="0.2">
      <c r="A7" s="9" t="s">
        <v>179</v>
      </c>
      <c r="B7" s="22">
        <v>2.2934190722195256</v>
      </c>
      <c r="C7" s="22">
        <v>0.4360302101404509</v>
      </c>
      <c r="E7" s="22">
        <v>0.73628352905026295</v>
      </c>
      <c r="F7" s="22">
        <v>2.3592582259502017</v>
      </c>
    </row>
    <row r="12" spans="1:6" x14ac:dyDescent="0.2">
      <c r="A12" s="17" t="s">
        <v>205</v>
      </c>
      <c r="B12" s="19">
        <f>AVERAGE(B3:B9)</f>
        <v>1.8303227617415936</v>
      </c>
      <c r="C12" s="19">
        <f>AVERAGE(C3:C9)</f>
        <v>0.57307073002446807</v>
      </c>
      <c r="E12" s="19">
        <f>AVERAGE(E3:E9)</f>
        <v>0.56255426455456592</v>
      </c>
      <c r="F12" s="19">
        <f>AVERAGE(F3:F9)</f>
        <v>3.2127516312475271</v>
      </c>
    </row>
    <row r="13" spans="1:6" x14ac:dyDescent="0.2">
      <c r="A13" s="18" t="s">
        <v>206</v>
      </c>
      <c r="B13" s="20">
        <f>STDEV(B3:B9)</f>
        <v>0.45565521044669782</v>
      </c>
      <c r="C13" s="20">
        <f>STDEV(C3:C9)</f>
        <v>0.1348245149537142</v>
      </c>
      <c r="E13" s="20">
        <f>STDEV(E3:E9)</f>
        <v>0.11832850571129307</v>
      </c>
      <c r="F13" s="20">
        <f>STDEV(F3:F9)</f>
        <v>1.0436472213974555</v>
      </c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2A7FAB-C5BA-A74E-87BD-FCFF2FE88615}">
  <dimension ref="A1:C12"/>
  <sheetViews>
    <sheetView workbookViewId="0">
      <selection activeCell="B5" sqref="B5"/>
    </sheetView>
  </sheetViews>
  <sheetFormatPr baseColWidth="10" defaultColWidth="11" defaultRowHeight="16" x14ac:dyDescent="0.2"/>
  <cols>
    <col min="1" max="16384" width="11" style="9"/>
  </cols>
  <sheetData>
    <row r="1" spans="1:3" x14ac:dyDescent="0.2">
      <c r="A1" s="9" t="s">
        <v>180</v>
      </c>
    </row>
    <row r="2" spans="1:3" ht="34" x14ac:dyDescent="0.2">
      <c r="B2" s="31" t="s">
        <v>104</v>
      </c>
      <c r="C2" s="31" t="s">
        <v>173</v>
      </c>
    </row>
    <row r="3" spans="1:3" x14ac:dyDescent="0.2">
      <c r="A3" s="9" t="s">
        <v>181</v>
      </c>
      <c r="B3" s="22">
        <v>0.14899957428693061</v>
      </c>
      <c r="C3" s="22">
        <v>0.32383419689119169</v>
      </c>
    </row>
    <row r="4" spans="1:3" x14ac:dyDescent="0.2">
      <c r="A4" s="9" t="s">
        <v>182</v>
      </c>
      <c r="B4" s="22">
        <v>0.31786395422759062</v>
      </c>
      <c r="C4" s="22">
        <v>0.91693635382955763</v>
      </c>
    </row>
    <row r="5" spans="1:3" x14ac:dyDescent="0.2">
      <c r="A5" s="9" t="s">
        <v>183</v>
      </c>
      <c r="B5" s="22">
        <v>0.42553191489361702</v>
      </c>
      <c r="C5" s="22">
        <v>0.90909090909090906</v>
      </c>
    </row>
    <row r="6" spans="1:3" x14ac:dyDescent="0.2">
      <c r="A6" s="9" t="s">
        <v>184</v>
      </c>
      <c r="B6" s="22">
        <v>7.2124053371799501E-2</v>
      </c>
      <c r="C6" s="22">
        <v>0.29197080291970801</v>
      </c>
    </row>
    <row r="7" spans="1:3" x14ac:dyDescent="0.2">
      <c r="A7" s="9" t="s">
        <v>185</v>
      </c>
      <c r="B7" s="22">
        <v>0.3395585738539898</v>
      </c>
      <c r="C7" s="22">
        <v>1.4840182648401825</v>
      </c>
    </row>
    <row r="8" spans="1:3" x14ac:dyDescent="0.2">
      <c r="A8" s="9" t="s">
        <v>186</v>
      </c>
      <c r="B8" s="22">
        <v>0.14051522248243559</v>
      </c>
      <c r="C8" s="22">
        <v>0.86580086580086579</v>
      </c>
    </row>
    <row r="11" spans="1:3" x14ac:dyDescent="0.2">
      <c r="A11" s="17" t="s">
        <v>205</v>
      </c>
      <c r="B11" s="19">
        <f>AVERAGE(B3:B8)</f>
        <v>0.24076554885272719</v>
      </c>
      <c r="C11" s="19">
        <f>AVERAGE(C3:C8)</f>
        <v>0.79860856556206927</v>
      </c>
    </row>
    <row r="12" spans="1:3" x14ac:dyDescent="0.2">
      <c r="A12" s="18" t="s">
        <v>206</v>
      </c>
      <c r="B12" s="20">
        <f>STDEV(B3:B8)</f>
        <v>0.13910708964219409</v>
      </c>
      <c r="C12" s="20">
        <f>STDEV(C3:C8)</f>
        <v>0.44330612413227083</v>
      </c>
    </row>
  </sheetData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B4265F-3753-B748-BDD3-A2AEAC116435}">
  <dimension ref="A1:S14"/>
  <sheetViews>
    <sheetView tabSelected="1" topLeftCell="B1" workbookViewId="0">
      <selection activeCell="F18" sqref="F18"/>
    </sheetView>
  </sheetViews>
  <sheetFormatPr baseColWidth="10" defaultColWidth="11" defaultRowHeight="16" x14ac:dyDescent="0.2"/>
  <cols>
    <col min="1" max="3" width="11" style="9"/>
    <col min="4" max="4" width="1.6640625" style="9" customWidth="1"/>
    <col min="5" max="6" width="11" style="9"/>
    <col min="7" max="7" width="1" style="9" customWidth="1"/>
    <col min="8" max="9" width="11" style="9"/>
    <col min="10" max="10" width="1" style="9" customWidth="1"/>
    <col min="11" max="13" width="11" style="9"/>
    <col min="14" max="14" width="1.1640625" style="9" customWidth="1"/>
    <col min="15" max="16" width="11" style="9"/>
    <col min="17" max="17" width="0.83203125" style="9" customWidth="1"/>
    <col min="18" max="16384" width="11" style="9"/>
  </cols>
  <sheetData>
    <row r="1" spans="1:19" x14ac:dyDescent="0.2">
      <c r="B1" s="9" t="s">
        <v>187</v>
      </c>
      <c r="E1" s="9" t="s">
        <v>188</v>
      </c>
      <c r="H1" s="9" t="s">
        <v>189</v>
      </c>
      <c r="L1" s="26" t="s">
        <v>190</v>
      </c>
      <c r="M1" s="26"/>
      <c r="N1" s="26"/>
      <c r="O1" s="26" t="s">
        <v>191</v>
      </c>
      <c r="P1" s="26"/>
      <c r="Q1" s="26"/>
      <c r="R1" s="26" t="s">
        <v>192</v>
      </c>
      <c r="S1" s="26"/>
    </row>
    <row r="2" spans="1:19" ht="34" x14ac:dyDescent="0.2">
      <c r="A2" s="31" t="s">
        <v>193</v>
      </c>
      <c r="B2" s="31" t="s">
        <v>104</v>
      </c>
      <c r="C2" s="31" t="s">
        <v>173</v>
      </c>
      <c r="D2" s="31"/>
      <c r="E2" s="31" t="s">
        <v>104</v>
      </c>
      <c r="F2" s="31" t="s">
        <v>173</v>
      </c>
      <c r="H2" s="31" t="s">
        <v>104</v>
      </c>
      <c r="I2" s="31" t="s">
        <v>173</v>
      </c>
      <c r="L2" s="59" t="s">
        <v>104</v>
      </c>
      <c r="M2" s="59" t="s">
        <v>173</v>
      </c>
      <c r="N2" s="59"/>
      <c r="O2" s="59" t="s">
        <v>104</v>
      </c>
      <c r="P2" s="59" t="s">
        <v>173</v>
      </c>
      <c r="Q2" s="26"/>
      <c r="R2" s="59" t="s">
        <v>104</v>
      </c>
      <c r="S2" s="59" t="s">
        <v>173</v>
      </c>
    </row>
    <row r="3" spans="1:19" x14ac:dyDescent="0.2">
      <c r="A3" s="9" t="s">
        <v>182</v>
      </c>
      <c r="B3" s="22">
        <v>0.79638877420478504</v>
      </c>
      <c r="C3" s="22">
        <v>1.4845495072623525</v>
      </c>
      <c r="D3" s="22"/>
      <c r="E3" s="22">
        <v>1.0181583612676164</v>
      </c>
      <c r="F3" s="22">
        <v>1.3466957972828768</v>
      </c>
      <c r="G3" s="22"/>
      <c r="H3" s="22">
        <v>0.92361165646113719</v>
      </c>
      <c r="I3" s="22">
        <v>1.141604990884646</v>
      </c>
      <c r="J3" s="22"/>
      <c r="K3" s="22"/>
      <c r="L3" s="37">
        <v>0.61695975387125424</v>
      </c>
      <c r="M3" s="37">
        <v>1.228488149293022</v>
      </c>
      <c r="N3" s="37"/>
      <c r="O3" s="37">
        <v>0.78876392073314316</v>
      </c>
      <c r="P3" s="37">
        <v>1.1144120284109618</v>
      </c>
      <c r="Q3" s="37"/>
      <c r="R3" s="37">
        <v>0.71551890069253654</v>
      </c>
      <c r="S3" s="37">
        <v>0.94469614897639964</v>
      </c>
    </row>
    <row r="4" spans="1:19" x14ac:dyDescent="0.2">
      <c r="A4" s="9" t="s">
        <v>183</v>
      </c>
      <c r="B4" s="22">
        <v>0.90928557212675321</v>
      </c>
      <c r="C4" s="22">
        <v>1.2779423080408043</v>
      </c>
      <c r="D4" s="22"/>
      <c r="E4" s="22">
        <v>0.88952114008217853</v>
      </c>
      <c r="F4" s="22">
        <v>1.2682525439817331</v>
      </c>
      <c r="G4" s="22"/>
      <c r="H4" s="22">
        <v>0.84053184794025859</v>
      </c>
      <c r="I4" s="22">
        <v>1.3483903190406552</v>
      </c>
      <c r="J4" s="22"/>
      <c r="K4" s="22"/>
      <c r="L4" s="37">
        <v>0.7440271030118778</v>
      </c>
      <c r="M4" s="37">
        <v>0.98831907911151606</v>
      </c>
      <c r="N4" s="37"/>
      <c r="O4" s="37">
        <v>0.72785476555533435</v>
      </c>
      <c r="P4" s="37">
        <v>0.98082533026901109</v>
      </c>
      <c r="Q4" s="37"/>
      <c r="R4" s="37">
        <v>0.6877690518606776</v>
      </c>
      <c r="S4" s="37">
        <v>1.0428012829782556</v>
      </c>
    </row>
    <row r="5" spans="1:19" x14ac:dyDescent="0.2">
      <c r="A5" s="9" t="s">
        <v>194</v>
      </c>
      <c r="B5" s="22">
        <v>0.62497982878155212</v>
      </c>
      <c r="C5" s="22">
        <v>1.5979413491600059</v>
      </c>
      <c r="D5" s="22"/>
      <c r="E5" s="22">
        <v>0.9007283710279077</v>
      </c>
      <c r="F5" s="22">
        <v>1.8118216505720808</v>
      </c>
      <c r="G5" s="22"/>
      <c r="H5" s="22">
        <v>0.78923205688294529</v>
      </c>
      <c r="I5" s="22">
        <v>1.4619501273812801</v>
      </c>
      <c r="J5" s="22"/>
      <c r="K5" s="22"/>
      <c r="L5" s="37">
        <v>0.52080380824703643</v>
      </c>
      <c r="M5" s="37">
        <v>1.0623773159578909</v>
      </c>
      <c r="N5" s="37"/>
      <c r="O5" s="37">
        <v>0.75058864978416528</v>
      </c>
      <c r="P5" s="37">
        <v>1.2045737618223584</v>
      </c>
      <c r="Q5" s="37"/>
      <c r="R5" s="37">
        <v>0.65767732314917304</v>
      </c>
      <c r="S5" s="37">
        <v>0.9719647427661009</v>
      </c>
    </row>
    <row r="9" spans="1:19" x14ac:dyDescent="0.2">
      <c r="A9" s="17" t="s">
        <v>205</v>
      </c>
      <c r="B9" s="19">
        <f>AVERAGE(B3:B6)</f>
        <v>0.77688472503769679</v>
      </c>
      <c r="C9" s="19">
        <f>AVERAGE(C3:C6)</f>
        <v>1.4534777214877208</v>
      </c>
      <c r="E9" s="19">
        <f>AVERAGE(E3:E6)</f>
        <v>0.93613595745923417</v>
      </c>
      <c r="F9" s="19">
        <f>AVERAGE(F3:F6)</f>
        <v>1.4755899972788971</v>
      </c>
      <c r="H9" s="19">
        <f>AVERAGE(H3:H6)</f>
        <v>0.85112518709478036</v>
      </c>
      <c r="I9" s="19">
        <f>AVERAGE(I3:I6)</f>
        <v>1.3173151457688603</v>
      </c>
      <c r="L9" s="19">
        <f>AVERAGE(L3:L6)</f>
        <v>0.62726355504338949</v>
      </c>
      <c r="M9" s="19">
        <f>AVERAGE(M3:M6)</f>
        <v>1.0930615147874763</v>
      </c>
      <c r="O9" s="19">
        <f>AVERAGE(O3:O6)</f>
        <v>0.75573577869088082</v>
      </c>
      <c r="P9" s="19">
        <f>AVERAGE(P3:P6)</f>
        <v>1.0999370401674438</v>
      </c>
      <c r="R9" s="19">
        <f>AVERAGE(R3:R6)</f>
        <v>0.68698842523412917</v>
      </c>
      <c r="S9" s="19">
        <f>AVERAGE(S3:S6)</f>
        <v>0.98648739157358545</v>
      </c>
    </row>
    <row r="10" spans="1:19" x14ac:dyDescent="0.2">
      <c r="A10" s="18" t="s">
        <v>206</v>
      </c>
      <c r="B10" s="20">
        <f>STDEV(B3:B6)</f>
        <v>0.14315287239591507</v>
      </c>
      <c r="C10" s="20">
        <f>STDEV(C3:C6)</f>
        <v>0.16224653611932846</v>
      </c>
      <c r="E10" s="20">
        <f>STDEV(E3:E6)</f>
        <v>7.1254168658729772E-2</v>
      </c>
      <c r="F10" s="20">
        <f>STDEV(F3:F6)</f>
        <v>0.29381478775636338</v>
      </c>
      <c r="H10" s="20">
        <f>STDEV(H3:H6)</f>
        <v>6.7813223795443037E-2</v>
      </c>
      <c r="I10" s="20">
        <f>STDEV(I3:I6)</f>
        <v>0.16241767580736452</v>
      </c>
      <c r="L10" s="20">
        <f>STDEV(L3:L6)</f>
        <v>0.11196779032545036</v>
      </c>
      <c r="M10" s="20">
        <f>STDEV(M3:M6)</f>
        <v>0.1229895752140092</v>
      </c>
      <c r="O10" s="20">
        <f>STDEV(O3:O6)</f>
        <v>3.0779067531446748E-2</v>
      </c>
      <c r="P10" s="20">
        <f>STDEV(P3:P6)</f>
        <v>0.112574349294736</v>
      </c>
      <c r="R10" s="20">
        <f>STDEV(R3:R6)</f>
        <v>2.8928689161864741E-2</v>
      </c>
      <c r="S10" s="20">
        <f>STDEV(S3:S6)</f>
        <v>5.0639261701467132E-2</v>
      </c>
    </row>
    <row r="14" spans="1:19" x14ac:dyDescent="0.2">
      <c r="L14" s="26" t="s">
        <v>195</v>
      </c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D0C9ED-8363-3449-B5D2-6799EF0FC3FE}">
  <dimension ref="A3:E18"/>
  <sheetViews>
    <sheetView workbookViewId="0">
      <selection sqref="A1:XFD1048576"/>
    </sheetView>
  </sheetViews>
  <sheetFormatPr baseColWidth="10" defaultColWidth="11" defaultRowHeight="16" x14ac:dyDescent="0.2"/>
  <cols>
    <col min="1" max="1" width="11" style="9"/>
    <col min="2" max="5" width="13.6640625" style="9" bestFit="1" customWidth="1"/>
    <col min="6" max="16384" width="11" style="9"/>
  </cols>
  <sheetData>
    <row r="3" spans="1:5" x14ac:dyDescent="0.2">
      <c r="B3" s="9" t="s">
        <v>167</v>
      </c>
      <c r="C3" s="9" t="s">
        <v>196</v>
      </c>
      <c r="D3" s="9" t="s">
        <v>197</v>
      </c>
      <c r="E3" s="9" t="s">
        <v>198</v>
      </c>
    </row>
    <row r="4" spans="1:5" x14ac:dyDescent="0.2">
      <c r="A4" s="28" t="s">
        <v>199</v>
      </c>
      <c r="B4" s="60">
        <v>0.18450184501845018</v>
      </c>
      <c r="C4" s="60">
        <v>0.81743869209809261</v>
      </c>
      <c r="D4" s="60">
        <v>0.42979942693409745</v>
      </c>
      <c r="E4" s="60">
        <v>0.10537407797681769</v>
      </c>
    </row>
    <row r="5" spans="1:5" x14ac:dyDescent="0.2">
      <c r="A5" s="28" t="s">
        <v>200</v>
      </c>
      <c r="B5" s="60">
        <v>0.17660044150110377</v>
      </c>
      <c r="C5" s="60">
        <v>0.84637086432418573</v>
      </c>
      <c r="D5" s="60">
        <v>0.82453825857519791</v>
      </c>
      <c r="E5" s="60">
        <v>0.55621771950735011</v>
      </c>
    </row>
    <row r="6" spans="1:5" x14ac:dyDescent="0.2">
      <c r="A6" s="28" t="s">
        <v>181</v>
      </c>
      <c r="B6" s="60">
        <v>0.29736618521665253</v>
      </c>
      <c r="C6" s="60">
        <v>0.59651634454784053</v>
      </c>
      <c r="D6" s="60">
        <v>1.3280865715691097</v>
      </c>
      <c r="E6" s="60">
        <v>0.32162295893122217</v>
      </c>
    </row>
    <row r="7" spans="1:5" x14ac:dyDescent="0.2">
      <c r="A7" s="28" t="s">
        <v>182</v>
      </c>
      <c r="B7" s="60">
        <v>0.32175032175032175</v>
      </c>
      <c r="C7" s="60">
        <v>1.0541110330288124</v>
      </c>
      <c r="D7" s="60">
        <v>0.51150895140664965</v>
      </c>
      <c r="E7" s="60">
        <v>0.46647230320699706</v>
      </c>
    </row>
    <row r="8" spans="1:5" x14ac:dyDescent="0.2">
      <c r="A8" s="28" t="s">
        <v>183</v>
      </c>
      <c r="B8" s="60">
        <v>0.4121393780442113</v>
      </c>
      <c r="C8" s="60">
        <v>1.2544802867383513</v>
      </c>
      <c r="D8" s="60">
        <v>0.3232062055591467</v>
      </c>
      <c r="E8" s="60">
        <v>0.25243418680129825</v>
      </c>
    </row>
    <row r="9" spans="1:5" x14ac:dyDescent="0.2">
      <c r="A9" s="28" t="s">
        <v>201</v>
      </c>
      <c r="B9" s="60">
        <v>5.2966101694915252E-2</v>
      </c>
      <c r="C9" s="60">
        <v>0.64516129032258063</v>
      </c>
      <c r="D9" s="60">
        <v>0.33927056827820185</v>
      </c>
      <c r="E9" s="60">
        <v>0.10537407797681769</v>
      </c>
    </row>
    <row r="10" spans="1:5" x14ac:dyDescent="0.2">
      <c r="A10" s="28" t="s">
        <v>185</v>
      </c>
      <c r="B10" s="60">
        <v>0.18988844054118206</v>
      </c>
      <c r="C10" s="60">
        <v>0.5494505494505495</v>
      </c>
      <c r="D10" s="60">
        <v>0.37942664418212479</v>
      </c>
      <c r="E10" s="60">
        <v>0.21193924408336279</v>
      </c>
    </row>
    <row r="11" spans="1:5" x14ac:dyDescent="0.2">
      <c r="A11" s="28" t="s">
        <v>186</v>
      </c>
      <c r="B11" s="60">
        <v>0.49751243781094528</v>
      </c>
      <c r="C11" s="60">
        <v>0.79033007903300789</v>
      </c>
      <c r="D11" s="60">
        <v>0.23464998044583496</v>
      </c>
      <c r="E11" s="60">
        <v>0.46487603305785125</v>
      </c>
    </row>
    <row r="12" spans="1:5" x14ac:dyDescent="0.2">
      <c r="A12" s="28" t="s">
        <v>202</v>
      </c>
      <c r="B12" s="60">
        <v>0.24183796856106407</v>
      </c>
      <c r="C12" s="60">
        <v>0.50709939148073024</v>
      </c>
      <c r="D12" s="60">
        <v>0.77220077220077221</v>
      </c>
      <c r="E12" s="60">
        <v>0</v>
      </c>
    </row>
    <row r="13" spans="1:5" x14ac:dyDescent="0.2">
      <c r="A13" s="28" t="s">
        <v>203</v>
      </c>
      <c r="B13" s="60">
        <v>0.52301255230125521</v>
      </c>
      <c r="C13" s="60">
        <v>0.95541401273885351</v>
      </c>
      <c r="D13" s="60">
        <v>0.47393364928909953</v>
      </c>
      <c r="E13" s="60">
        <v>0.44523597506678536</v>
      </c>
    </row>
    <row r="14" spans="1:5" x14ac:dyDescent="0.2">
      <c r="A14" s="28" t="s">
        <v>204</v>
      </c>
      <c r="B14" s="60">
        <v>0.59012875536480691</v>
      </c>
      <c r="C14" s="60">
        <v>1.3150684931506851</v>
      </c>
      <c r="D14" s="60">
        <v>0.45784051888592137</v>
      </c>
      <c r="E14" s="60"/>
    </row>
    <row r="17" spans="1:5" x14ac:dyDescent="0.2">
      <c r="A17" s="17" t="s">
        <v>205</v>
      </c>
      <c r="B17" s="19">
        <f>AVERAGE(B4:B14)</f>
        <v>0.31706403889135532</v>
      </c>
      <c r="C17" s="19">
        <f t="shared" ref="C17:E17" si="0">AVERAGE(C4:C14)</f>
        <v>0.84831282153760801</v>
      </c>
      <c r="D17" s="19">
        <f t="shared" si="0"/>
        <v>0.55222377702965053</v>
      </c>
      <c r="E17" s="19">
        <f t="shared" si="0"/>
        <v>0.29295465766085027</v>
      </c>
    </row>
    <row r="18" spans="1:5" x14ac:dyDescent="0.2">
      <c r="A18" s="18" t="s">
        <v>206</v>
      </c>
      <c r="B18" s="20">
        <f>STDEV(B4:B14)</f>
        <v>0.16966823903525896</v>
      </c>
      <c r="C18" s="20">
        <f t="shared" ref="C18:E18" si="1">STDEV(C4:C14)</f>
        <v>0.27411543011344464</v>
      </c>
      <c r="D18" s="20">
        <f t="shared" si="1"/>
        <v>0.31379948626671983</v>
      </c>
      <c r="E18" s="20">
        <f t="shared" si="1"/>
        <v>0.18778978450676564</v>
      </c>
    </row>
  </sheetData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F0C6F-0B00-7E41-8D43-BC80E104A20A}">
  <dimension ref="A1:AI53"/>
  <sheetViews>
    <sheetView workbookViewId="0">
      <selection sqref="A1:XFD1048576"/>
    </sheetView>
  </sheetViews>
  <sheetFormatPr baseColWidth="10" defaultRowHeight="16" x14ac:dyDescent="0.2"/>
  <cols>
    <col min="1" max="16384" width="10.83203125" style="9"/>
  </cols>
  <sheetData>
    <row r="1" spans="1:35" x14ac:dyDescent="0.2">
      <c r="A1" s="16" t="s">
        <v>223</v>
      </c>
      <c r="B1" s="16"/>
      <c r="C1" s="16"/>
      <c r="D1" s="16"/>
      <c r="E1" s="16"/>
      <c r="F1" s="16"/>
      <c r="G1" s="16"/>
      <c r="H1" s="16"/>
      <c r="I1" s="16"/>
      <c r="J1" s="16"/>
      <c r="K1" s="16"/>
      <c r="M1" s="16" t="s">
        <v>228</v>
      </c>
      <c r="N1" s="16"/>
      <c r="O1" s="16"/>
      <c r="P1" s="16"/>
      <c r="Q1" s="16"/>
      <c r="R1" s="16"/>
      <c r="S1" s="16"/>
      <c r="T1" s="16"/>
      <c r="U1" s="16"/>
      <c r="V1" s="16"/>
      <c r="W1" s="16"/>
      <c r="Y1" s="16" t="s">
        <v>227</v>
      </c>
      <c r="Z1" s="16"/>
      <c r="AA1" s="16"/>
      <c r="AB1" s="16"/>
      <c r="AC1" s="16"/>
      <c r="AD1" s="16"/>
      <c r="AE1" s="16"/>
      <c r="AF1" s="16"/>
      <c r="AG1" s="16"/>
      <c r="AH1" s="16"/>
      <c r="AI1" s="16"/>
    </row>
    <row r="3" spans="1:35" x14ac:dyDescent="0.2">
      <c r="A3" s="11" t="s">
        <v>160</v>
      </c>
      <c r="B3" s="11"/>
      <c r="C3" s="11"/>
      <c r="D3" s="11"/>
      <c r="E3" s="11"/>
      <c r="G3" s="11" t="s">
        <v>159</v>
      </c>
      <c r="H3" s="11"/>
      <c r="I3" s="11"/>
      <c r="J3" s="11"/>
      <c r="K3" s="11"/>
      <c r="M3" s="11" t="s">
        <v>160</v>
      </c>
      <c r="N3" s="11"/>
      <c r="O3" s="11"/>
      <c r="P3" s="11"/>
      <c r="Q3" s="11"/>
      <c r="S3" s="11" t="s">
        <v>159</v>
      </c>
      <c r="T3" s="11"/>
      <c r="U3" s="11"/>
      <c r="V3" s="11"/>
      <c r="W3" s="11"/>
      <c r="Y3" s="11" t="s">
        <v>160</v>
      </c>
      <c r="Z3" s="11"/>
      <c r="AA3" s="11"/>
      <c r="AB3" s="11"/>
      <c r="AC3" s="11"/>
      <c r="AE3" s="11" t="s">
        <v>159</v>
      </c>
      <c r="AF3" s="11"/>
      <c r="AG3" s="11"/>
      <c r="AH3" s="11"/>
      <c r="AI3" s="11"/>
    </row>
    <row r="4" spans="1:35" x14ac:dyDescent="0.2">
      <c r="A4" s="10" t="s">
        <v>224</v>
      </c>
      <c r="B4" s="10" t="s">
        <v>218</v>
      </c>
      <c r="C4" s="10" t="s">
        <v>225</v>
      </c>
      <c r="D4" s="10" t="s">
        <v>226</v>
      </c>
      <c r="E4" s="10" t="s">
        <v>219</v>
      </c>
      <c r="G4" s="10" t="s">
        <v>224</v>
      </c>
      <c r="H4" s="10" t="s">
        <v>218</v>
      </c>
      <c r="I4" s="10" t="s">
        <v>225</v>
      </c>
      <c r="J4" s="10" t="s">
        <v>226</v>
      </c>
      <c r="K4" s="10" t="s">
        <v>219</v>
      </c>
      <c r="M4" s="10" t="s">
        <v>224</v>
      </c>
      <c r="N4" s="10" t="s">
        <v>218</v>
      </c>
      <c r="O4" s="10" t="s">
        <v>225</v>
      </c>
      <c r="P4" s="10" t="s">
        <v>226</v>
      </c>
      <c r="Q4" s="10" t="s">
        <v>219</v>
      </c>
      <c r="S4" s="10" t="s">
        <v>224</v>
      </c>
      <c r="T4" s="10" t="s">
        <v>218</v>
      </c>
      <c r="U4" s="10" t="s">
        <v>225</v>
      </c>
      <c r="V4" s="10" t="s">
        <v>226</v>
      </c>
      <c r="W4" s="10" t="s">
        <v>219</v>
      </c>
      <c r="Y4" s="10" t="s">
        <v>224</v>
      </c>
      <c r="Z4" s="10" t="s">
        <v>218</v>
      </c>
      <c r="AA4" s="10" t="s">
        <v>225</v>
      </c>
      <c r="AB4" s="10" t="s">
        <v>226</v>
      </c>
      <c r="AC4" s="10" t="s">
        <v>219</v>
      </c>
      <c r="AE4" s="10" t="s">
        <v>224</v>
      </c>
      <c r="AF4" s="10" t="s">
        <v>218</v>
      </c>
      <c r="AG4" s="10" t="s">
        <v>225</v>
      </c>
      <c r="AH4" s="10" t="s">
        <v>226</v>
      </c>
      <c r="AI4" s="10" t="s">
        <v>219</v>
      </c>
    </row>
    <row r="5" spans="1:35" x14ac:dyDescent="0.2">
      <c r="A5" s="8">
        <v>197</v>
      </c>
      <c r="B5" s="8">
        <v>189</v>
      </c>
      <c r="C5" s="8">
        <v>174</v>
      </c>
      <c r="D5" s="8">
        <v>175</v>
      </c>
      <c r="E5" s="8">
        <v>447</v>
      </c>
      <c r="G5" s="8">
        <v>167</v>
      </c>
      <c r="H5" s="8">
        <v>255</v>
      </c>
      <c r="I5" s="8">
        <v>170</v>
      </c>
      <c r="J5" s="8">
        <v>170</v>
      </c>
      <c r="K5" s="8">
        <v>478</v>
      </c>
      <c r="M5" s="8">
        <v>13.6</v>
      </c>
      <c r="N5" s="8">
        <v>13.2</v>
      </c>
      <c r="O5" s="8">
        <v>13.4</v>
      </c>
      <c r="P5" s="8">
        <v>15.1</v>
      </c>
      <c r="Q5" s="8">
        <v>10.8</v>
      </c>
      <c r="S5" s="8">
        <v>9.9</v>
      </c>
      <c r="T5" s="8">
        <v>10.6</v>
      </c>
      <c r="U5" s="8">
        <v>13.7</v>
      </c>
      <c r="V5" s="8">
        <v>13.6</v>
      </c>
      <c r="W5" s="8">
        <v>14</v>
      </c>
      <c r="Y5" s="8">
        <v>0.96</v>
      </c>
      <c r="Z5" s="8"/>
      <c r="AA5" s="8"/>
      <c r="AB5" s="8"/>
      <c r="AC5" s="8"/>
      <c r="AE5" s="8">
        <v>1.07</v>
      </c>
      <c r="AF5" s="8">
        <v>0.81</v>
      </c>
      <c r="AG5" s="8">
        <v>0.28999999999999998</v>
      </c>
      <c r="AH5" s="8">
        <v>0.5</v>
      </c>
      <c r="AI5" s="8">
        <v>0.23</v>
      </c>
    </row>
    <row r="6" spans="1:35" x14ac:dyDescent="0.2">
      <c r="A6" s="8">
        <v>230</v>
      </c>
      <c r="B6" s="8">
        <v>193</v>
      </c>
      <c r="C6" s="8">
        <v>219</v>
      </c>
      <c r="D6" s="8">
        <v>157</v>
      </c>
      <c r="E6" s="8">
        <v>449</v>
      </c>
      <c r="G6" s="8">
        <v>190</v>
      </c>
      <c r="H6" s="8">
        <v>138</v>
      </c>
      <c r="I6" s="8">
        <v>212</v>
      </c>
      <c r="J6" s="8">
        <v>150</v>
      </c>
      <c r="K6" s="8">
        <v>500</v>
      </c>
      <c r="M6" s="8">
        <v>12.6</v>
      </c>
      <c r="N6" s="8">
        <v>18.2</v>
      </c>
      <c r="O6" s="8">
        <v>13.3</v>
      </c>
      <c r="P6" s="8">
        <v>13.7</v>
      </c>
      <c r="Q6" s="8">
        <v>11.2</v>
      </c>
      <c r="S6" s="8">
        <v>12.5</v>
      </c>
      <c r="T6" s="8">
        <v>10.6</v>
      </c>
      <c r="U6" s="8">
        <v>12.3</v>
      </c>
      <c r="V6" s="8">
        <v>13.5</v>
      </c>
      <c r="W6" s="8"/>
      <c r="Y6" s="8">
        <v>0.22</v>
      </c>
      <c r="Z6" s="8"/>
      <c r="AA6" s="8">
        <v>1.64</v>
      </c>
      <c r="AB6" s="8">
        <v>0.44</v>
      </c>
      <c r="AC6" s="8">
        <v>0.1</v>
      </c>
      <c r="AE6" s="8">
        <v>0.15</v>
      </c>
      <c r="AF6" s="8">
        <v>1.22</v>
      </c>
      <c r="AG6" s="8">
        <v>0.86</v>
      </c>
      <c r="AH6" s="8">
        <v>0.7</v>
      </c>
      <c r="AI6" s="8">
        <v>0.17</v>
      </c>
    </row>
    <row r="7" spans="1:35" x14ac:dyDescent="0.2">
      <c r="A7" s="8">
        <v>230</v>
      </c>
      <c r="B7" s="8">
        <v>208</v>
      </c>
      <c r="C7" s="8">
        <v>215</v>
      </c>
      <c r="D7" s="8">
        <v>132</v>
      </c>
      <c r="E7" s="8">
        <v>500</v>
      </c>
      <c r="G7" s="8">
        <v>117</v>
      </c>
      <c r="H7" s="8">
        <v>208</v>
      </c>
      <c r="I7" s="8">
        <v>265</v>
      </c>
      <c r="J7" s="8">
        <v>164</v>
      </c>
      <c r="K7" s="8">
        <v>451</v>
      </c>
      <c r="M7" s="8">
        <v>11.5</v>
      </c>
      <c r="N7" s="8">
        <v>11.9</v>
      </c>
      <c r="O7" s="8">
        <v>12.7</v>
      </c>
      <c r="P7" s="8">
        <v>13.1</v>
      </c>
      <c r="Q7" s="8">
        <v>11.7</v>
      </c>
      <c r="S7" s="8">
        <v>10.3</v>
      </c>
      <c r="T7" s="8">
        <v>10.1</v>
      </c>
      <c r="U7" s="8">
        <v>13.3</v>
      </c>
      <c r="V7" s="8">
        <v>14.3</v>
      </c>
      <c r="W7" s="8">
        <v>9.9</v>
      </c>
      <c r="Y7" s="8">
        <v>2.23</v>
      </c>
      <c r="Z7" s="8">
        <v>0.56999999999999995</v>
      </c>
      <c r="AA7" s="8">
        <v>1.33</v>
      </c>
      <c r="AB7" s="8">
        <v>0.47</v>
      </c>
      <c r="AC7" s="8">
        <v>0.7</v>
      </c>
      <c r="AE7" s="8"/>
      <c r="AF7" s="8">
        <v>1.29</v>
      </c>
      <c r="AG7" s="8">
        <v>0.23</v>
      </c>
      <c r="AH7" s="8">
        <v>0.49</v>
      </c>
      <c r="AI7" s="8">
        <v>0.21</v>
      </c>
    </row>
    <row r="8" spans="1:35" x14ac:dyDescent="0.2">
      <c r="A8" s="8">
        <v>232</v>
      </c>
      <c r="B8" s="8"/>
      <c r="C8" s="8"/>
      <c r="D8" s="8"/>
      <c r="E8" s="8">
        <v>411</v>
      </c>
      <c r="G8" s="8">
        <v>179</v>
      </c>
      <c r="H8" s="8">
        <v>202</v>
      </c>
      <c r="I8" s="8"/>
      <c r="J8" s="8">
        <v>206</v>
      </c>
      <c r="K8" s="8">
        <v>160</v>
      </c>
      <c r="M8" s="8">
        <v>13.6</v>
      </c>
      <c r="N8" s="8"/>
      <c r="O8" s="8"/>
      <c r="P8" s="8"/>
      <c r="Q8" s="8">
        <v>8.9</v>
      </c>
      <c r="S8" s="8">
        <v>14.9</v>
      </c>
      <c r="T8" s="8">
        <v>13.1</v>
      </c>
      <c r="U8" s="8"/>
      <c r="V8" s="8">
        <v>14.4</v>
      </c>
      <c r="W8" s="8">
        <v>13.8</v>
      </c>
      <c r="Y8" s="8">
        <v>0.82</v>
      </c>
      <c r="Z8" s="8">
        <v>0.91</v>
      </c>
      <c r="AA8" s="15">
        <v>0.160186</v>
      </c>
      <c r="AB8" s="8">
        <v>1.3</v>
      </c>
      <c r="AC8" s="8">
        <v>0.05</v>
      </c>
      <c r="AE8" s="8"/>
      <c r="AF8" s="8">
        <v>0.49</v>
      </c>
      <c r="AG8" s="8"/>
      <c r="AH8" s="8">
        <v>0.44</v>
      </c>
      <c r="AI8" s="8"/>
    </row>
    <row r="9" spans="1:35" x14ac:dyDescent="0.2">
      <c r="A9" s="8">
        <v>202.5</v>
      </c>
      <c r="B9" s="8"/>
      <c r="C9" s="8"/>
      <c r="D9" s="8"/>
      <c r="E9" s="8">
        <v>406</v>
      </c>
      <c r="G9" s="8">
        <v>180</v>
      </c>
      <c r="H9" s="8">
        <v>222</v>
      </c>
      <c r="I9" s="8"/>
      <c r="J9" s="8"/>
      <c r="K9" s="8">
        <v>500</v>
      </c>
      <c r="M9" s="8">
        <v>16.3</v>
      </c>
      <c r="N9" s="8"/>
      <c r="O9" s="8"/>
      <c r="P9" s="8"/>
      <c r="Q9" s="8">
        <v>15.7</v>
      </c>
      <c r="S9" s="8">
        <v>14.2</v>
      </c>
      <c r="T9" s="8">
        <v>15.7</v>
      </c>
      <c r="U9" s="8"/>
      <c r="V9" s="8"/>
      <c r="W9" s="8">
        <v>14.2</v>
      </c>
      <c r="Y9" s="8">
        <v>0.98</v>
      </c>
      <c r="Z9" s="8"/>
      <c r="AA9" s="8">
        <v>0.43</v>
      </c>
      <c r="AB9" s="8"/>
      <c r="AC9" s="8">
        <v>0.36</v>
      </c>
      <c r="AE9" s="8"/>
      <c r="AF9" s="8"/>
      <c r="AG9" s="8"/>
      <c r="AH9" s="8">
        <v>0.47</v>
      </c>
      <c r="AI9" s="8"/>
    </row>
    <row r="10" spans="1:35" x14ac:dyDescent="0.2">
      <c r="A10" s="8">
        <v>174</v>
      </c>
      <c r="B10" s="8"/>
      <c r="C10" s="8"/>
      <c r="D10" s="8"/>
      <c r="E10" s="8">
        <v>402</v>
      </c>
      <c r="G10" s="8">
        <v>192</v>
      </c>
      <c r="H10" s="8">
        <v>218</v>
      </c>
      <c r="I10" s="8"/>
      <c r="J10" s="8"/>
      <c r="K10" s="8">
        <v>500</v>
      </c>
      <c r="M10" s="8">
        <v>15.7</v>
      </c>
      <c r="N10" s="8"/>
      <c r="O10" s="8"/>
      <c r="P10" s="8"/>
      <c r="Q10" s="8">
        <v>13</v>
      </c>
      <c r="S10" s="8">
        <v>12.5</v>
      </c>
      <c r="T10" s="8"/>
      <c r="U10" s="8"/>
      <c r="V10" s="8"/>
      <c r="W10" s="8">
        <v>10.5</v>
      </c>
      <c r="Y10" s="8">
        <v>0.67</v>
      </c>
      <c r="Z10" s="8"/>
      <c r="AA10" s="8"/>
      <c r="AB10" s="8"/>
      <c r="AC10" s="8">
        <v>0.5</v>
      </c>
      <c r="AE10" s="8"/>
      <c r="AF10" s="8"/>
      <c r="AG10" s="8"/>
      <c r="AH10" s="8">
        <v>1.3</v>
      </c>
      <c r="AI10" s="8"/>
    </row>
    <row r="11" spans="1:35" x14ac:dyDescent="0.2">
      <c r="A11" s="8">
        <v>168</v>
      </c>
      <c r="B11" s="8"/>
      <c r="C11" s="8"/>
      <c r="D11" s="8"/>
      <c r="E11" s="8">
        <v>500</v>
      </c>
      <c r="G11" s="8">
        <v>220</v>
      </c>
      <c r="H11" s="8"/>
      <c r="I11" s="8"/>
      <c r="J11" s="8"/>
      <c r="K11" s="8"/>
      <c r="M11" s="8">
        <v>11.9</v>
      </c>
      <c r="N11" s="8"/>
      <c r="O11" s="8"/>
      <c r="P11" s="8"/>
      <c r="Q11" s="8"/>
      <c r="S11" s="8">
        <v>13.1</v>
      </c>
      <c r="T11" s="8"/>
      <c r="U11" s="8"/>
      <c r="V11" s="8"/>
      <c r="W11" s="8"/>
      <c r="Y11" s="8"/>
      <c r="Z11" s="8"/>
      <c r="AA11" s="8"/>
      <c r="AB11" s="8"/>
      <c r="AC11" s="8">
        <v>0.17</v>
      </c>
      <c r="AE11" s="8"/>
      <c r="AF11" s="8"/>
      <c r="AG11" s="8"/>
      <c r="AH11" s="8"/>
      <c r="AI11" s="8"/>
    </row>
    <row r="12" spans="1:35" x14ac:dyDescent="0.2">
      <c r="A12" s="8">
        <v>297</v>
      </c>
      <c r="B12" s="8"/>
      <c r="C12" s="8"/>
      <c r="D12" s="8"/>
      <c r="E12" s="8">
        <v>467</v>
      </c>
      <c r="G12" s="12"/>
      <c r="H12" s="12"/>
      <c r="I12" s="12"/>
      <c r="J12" s="12"/>
      <c r="K12" s="12"/>
      <c r="M12" s="8"/>
      <c r="N12" s="8"/>
      <c r="O12" s="8"/>
      <c r="P12" s="8"/>
      <c r="Q12" s="8">
        <v>12.5</v>
      </c>
      <c r="S12" s="12"/>
      <c r="T12" s="12"/>
      <c r="U12" s="12"/>
      <c r="V12" s="12"/>
      <c r="W12" s="12"/>
      <c r="Y12" s="8"/>
      <c r="Z12" s="8"/>
      <c r="AA12" s="8"/>
      <c r="AB12" s="8"/>
      <c r="AC12" s="15">
        <v>0.209089</v>
      </c>
      <c r="AE12" s="12"/>
      <c r="AF12" s="12"/>
      <c r="AG12" s="12"/>
      <c r="AH12" s="12"/>
      <c r="AI12" s="12"/>
    </row>
    <row r="13" spans="1:35" x14ac:dyDescent="0.2">
      <c r="A13" s="8"/>
      <c r="B13" s="8"/>
      <c r="C13" s="8"/>
      <c r="D13" s="8"/>
      <c r="E13" s="8">
        <v>500</v>
      </c>
      <c r="G13" s="12"/>
      <c r="H13" s="12"/>
      <c r="I13" s="12"/>
      <c r="J13" s="12"/>
      <c r="K13" s="12"/>
      <c r="M13" s="8"/>
      <c r="N13" s="8"/>
      <c r="O13" s="8"/>
      <c r="P13" s="8"/>
      <c r="Q13" s="8">
        <v>10</v>
      </c>
      <c r="S13" s="12"/>
      <c r="T13" s="12"/>
      <c r="U13" s="12"/>
      <c r="V13" s="12"/>
      <c r="W13" s="12"/>
      <c r="Y13" s="8"/>
      <c r="Z13" s="8"/>
      <c r="AA13" s="8"/>
      <c r="AB13" s="8"/>
      <c r="AC13" s="15">
        <v>0.12531300000000001</v>
      </c>
      <c r="AE13" s="12"/>
      <c r="AF13" s="12"/>
      <c r="AG13" s="12"/>
      <c r="AH13" s="12"/>
      <c r="AI13" s="12"/>
    </row>
    <row r="14" spans="1:35" x14ac:dyDescent="0.2">
      <c r="A14" s="8"/>
      <c r="B14" s="8"/>
      <c r="C14" s="8"/>
      <c r="D14" s="8"/>
      <c r="E14" s="8">
        <v>500</v>
      </c>
      <c r="G14" s="12"/>
      <c r="H14" s="12"/>
      <c r="I14" s="12"/>
      <c r="J14" s="12"/>
      <c r="K14" s="12"/>
      <c r="M14" s="8"/>
      <c r="N14" s="8"/>
      <c r="O14" s="8"/>
      <c r="P14" s="8"/>
      <c r="Q14" s="8">
        <v>10.1</v>
      </c>
      <c r="S14" s="12"/>
      <c r="T14" s="12"/>
      <c r="U14" s="12"/>
      <c r="V14" s="12"/>
      <c r="W14" s="12"/>
      <c r="Y14" s="8"/>
      <c r="Z14" s="8"/>
      <c r="AA14" s="8"/>
      <c r="AB14" s="8"/>
      <c r="AC14" s="8"/>
      <c r="AE14" s="12"/>
      <c r="AF14" s="12"/>
      <c r="AG14" s="12"/>
      <c r="AH14" s="12"/>
      <c r="AI14" s="12"/>
    </row>
    <row r="15" spans="1:35" x14ac:dyDescent="0.2">
      <c r="A15" s="8"/>
      <c r="B15" s="8"/>
      <c r="C15" s="8"/>
      <c r="D15" s="8"/>
      <c r="E15" s="8">
        <v>500</v>
      </c>
      <c r="G15" s="12"/>
      <c r="H15" s="12"/>
      <c r="I15" s="12"/>
      <c r="J15" s="12"/>
      <c r="K15" s="12"/>
      <c r="M15" s="8"/>
      <c r="N15" s="8"/>
      <c r="O15" s="8"/>
      <c r="P15" s="8"/>
      <c r="Q15" s="8">
        <v>10.9</v>
      </c>
      <c r="S15" s="12"/>
      <c r="T15" s="12"/>
      <c r="U15" s="12"/>
      <c r="V15" s="12"/>
      <c r="W15" s="12"/>
      <c r="Y15" s="8"/>
      <c r="Z15" s="8"/>
      <c r="AA15" s="8"/>
      <c r="AB15" s="8"/>
      <c r="AC15" s="8"/>
      <c r="AE15" s="12"/>
      <c r="AF15" s="12"/>
      <c r="AG15" s="12"/>
      <c r="AH15" s="12"/>
      <c r="AI15" s="12"/>
    </row>
    <row r="16" spans="1:35" x14ac:dyDescent="0.2">
      <c r="A16" s="12"/>
      <c r="B16" s="12"/>
      <c r="C16" s="12"/>
      <c r="D16" s="12"/>
      <c r="E16" s="12"/>
      <c r="G16" s="12"/>
      <c r="H16" s="12"/>
      <c r="I16" s="12"/>
      <c r="J16" s="12"/>
      <c r="K16" s="12"/>
      <c r="M16" s="12"/>
      <c r="N16" s="12"/>
      <c r="O16" s="12"/>
      <c r="P16" s="12"/>
      <c r="Q16" s="12"/>
      <c r="S16" s="12"/>
      <c r="T16" s="12"/>
      <c r="U16" s="12"/>
      <c r="V16" s="12"/>
      <c r="W16" s="12"/>
      <c r="Y16" s="12"/>
      <c r="Z16" s="12"/>
      <c r="AA16" s="12"/>
      <c r="AB16" s="12"/>
      <c r="AC16" s="12"/>
      <c r="AE16" s="12"/>
      <c r="AF16" s="12"/>
      <c r="AG16" s="12"/>
      <c r="AH16" s="12"/>
      <c r="AI16" s="12"/>
    </row>
    <row r="17" spans="1:35" x14ac:dyDescent="0.2">
      <c r="A17" s="13">
        <f>AVERAGE(A5:A16)</f>
        <v>216.3125</v>
      </c>
      <c r="B17" s="13">
        <f t="shared" ref="B17:J17" si="0">AVERAGE(B5:B16)</f>
        <v>196.66666666666666</v>
      </c>
      <c r="C17" s="13">
        <f t="shared" si="0"/>
        <v>202.66666666666666</v>
      </c>
      <c r="D17" s="13">
        <f t="shared" si="0"/>
        <v>154.66666666666666</v>
      </c>
      <c r="E17" s="13">
        <f t="shared" si="0"/>
        <v>462</v>
      </c>
      <c r="F17" s="13"/>
      <c r="G17" s="13">
        <f t="shared" si="0"/>
        <v>177.85714285714286</v>
      </c>
      <c r="H17" s="13">
        <f t="shared" si="0"/>
        <v>207.16666666666666</v>
      </c>
      <c r="I17" s="13">
        <f t="shared" si="0"/>
        <v>215.66666666666666</v>
      </c>
      <c r="J17" s="13">
        <f t="shared" si="0"/>
        <v>172.5</v>
      </c>
      <c r="K17" s="13">
        <f>AVERAGE(K5:K16)</f>
        <v>431.5</v>
      </c>
      <c r="M17" s="13">
        <f>AVERAGE(M5:M16)</f>
        <v>13.600000000000003</v>
      </c>
      <c r="N17" s="13">
        <f t="shared" ref="N17" si="1">AVERAGE(N5:N16)</f>
        <v>14.433333333333332</v>
      </c>
      <c r="O17" s="13">
        <f t="shared" ref="O17" si="2">AVERAGE(O5:O16)</f>
        <v>13.133333333333335</v>
      </c>
      <c r="P17" s="13">
        <f t="shared" ref="P17" si="3">AVERAGE(P5:P16)</f>
        <v>13.966666666666667</v>
      </c>
      <c r="Q17" s="13">
        <f t="shared" ref="Q17" si="4">AVERAGE(Q5:Q16)</f>
        <v>11.48</v>
      </c>
      <c r="R17" s="13"/>
      <c r="S17" s="13">
        <f t="shared" ref="S17" si="5">AVERAGE(S5:S16)</f>
        <v>12.485714285714284</v>
      </c>
      <c r="T17" s="13">
        <f t="shared" ref="T17" si="6">AVERAGE(T5:T16)</f>
        <v>12.02</v>
      </c>
      <c r="U17" s="13">
        <f t="shared" ref="U17" si="7">AVERAGE(U5:U16)</f>
        <v>13.1</v>
      </c>
      <c r="V17" s="13">
        <f t="shared" ref="V17" si="8">AVERAGE(V5:V16)</f>
        <v>13.950000000000001</v>
      </c>
      <c r="W17" s="13">
        <f>AVERAGE(W5:W16)</f>
        <v>12.48</v>
      </c>
      <c r="Y17" s="13">
        <f>AVERAGE(Y5:Y16)</f>
        <v>0.98000000000000009</v>
      </c>
      <c r="Z17" s="13">
        <f t="shared" ref="Z17" si="9">AVERAGE(Z5:Z16)</f>
        <v>0.74</v>
      </c>
      <c r="AA17" s="13">
        <f t="shared" ref="AA17" si="10">AVERAGE(AA5:AA16)</f>
        <v>0.89004649999999996</v>
      </c>
      <c r="AB17" s="13">
        <f t="shared" ref="AB17" si="11">AVERAGE(AB5:AB16)</f>
        <v>0.73666666666666669</v>
      </c>
      <c r="AC17" s="13">
        <f t="shared" ref="AC17" si="12">AVERAGE(AC5:AC16)</f>
        <v>0.27680024999999997</v>
      </c>
      <c r="AD17" s="13"/>
      <c r="AE17" s="13">
        <f t="shared" ref="AE17" si="13">AVERAGE(AE5:AE16)</f>
        <v>0.61</v>
      </c>
      <c r="AF17" s="13">
        <f t="shared" ref="AF17" si="14">AVERAGE(AF5:AF16)</f>
        <v>0.95250000000000012</v>
      </c>
      <c r="AG17" s="13">
        <f t="shared" ref="AG17" si="15">AVERAGE(AG5:AG16)</f>
        <v>0.45999999999999996</v>
      </c>
      <c r="AH17" s="13">
        <f t="shared" ref="AH17" si="16">AVERAGE(AH5:AH16)</f>
        <v>0.64999999999999991</v>
      </c>
      <c r="AI17" s="13">
        <f>AVERAGE(AI5:AI16)</f>
        <v>0.20333333333333334</v>
      </c>
    </row>
    <row r="18" spans="1:35" x14ac:dyDescent="0.2">
      <c r="A18" s="14">
        <f>STDEV(A5:A16)</f>
        <v>41.091307301110362</v>
      </c>
      <c r="B18" s="14">
        <f t="shared" ref="B18:J18" si="17">STDEV(B5:B16)</f>
        <v>10.016652800877813</v>
      </c>
      <c r="C18" s="14">
        <f t="shared" si="17"/>
        <v>24.906491790963525</v>
      </c>
      <c r="D18" s="14">
        <f t="shared" si="17"/>
        <v>21.594752448994079</v>
      </c>
      <c r="E18" s="14">
        <f t="shared" si="17"/>
        <v>41.201941701817887</v>
      </c>
      <c r="F18" s="14"/>
      <c r="G18" s="14">
        <f t="shared" si="17"/>
        <v>31.493007538333359</v>
      </c>
      <c r="H18" s="14">
        <f t="shared" si="17"/>
        <v>38.566392969354403</v>
      </c>
      <c r="I18" s="14">
        <f t="shared" si="17"/>
        <v>47.606022028030537</v>
      </c>
      <c r="J18" s="14">
        <f t="shared" si="17"/>
        <v>23.853720883753127</v>
      </c>
      <c r="K18" s="14">
        <f>STDEV(K5:K16)</f>
        <v>134.41093705498821</v>
      </c>
      <c r="M18" s="14">
        <f>STDEV(M5:M16)</f>
        <v>1.8257418583505227</v>
      </c>
      <c r="N18" s="14">
        <f t="shared" ref="N18:Q18" si="18">STDEV(N5:N16)</f>
        <v>3.3261589458913914</v>
      </c>
      <c r="O18" s="14">
        <f t="shared" si="18"/>
        <v>0.37859388972001895</v>
      </c>
      <c r="P18" s="14">
        <f t="shared" si="18"/>
        <v>1.0263202878893769</v>
      </c>
      <c r="Q18" s="14">
        <f t="shared" si="18"/>
        <v>1.9100901665744594</v>
      </c>
      <c r="R18" s="14"/>
      <c r="S18" s="14">
        <f t="shared" ref="S18:V18" si="19">STDEV(S5:S16)</f>
        <v>1.8533110652995997</v>
      </c>
      <c r="T18" s="14">
        <f t="shared" si="19"/>
        <v>2.3679104712805459</v>
      </c>
      <c r="U18" s="14">
        <f t="shared" si="19"/>
        <v>0.72111025509279736</v>
      </c>
      <c r="V18" s="14">
        <f t="shared" si="19"/>
        <v>0.46547466812563176</v>
      </c>
      <c r="W18" s="14">
        <f>STDEV(W5:W16)</f>
        <v>2.0969024774652643</v>
      </c>
      <c r="Y18" s="14">
        <f>STDEV(Y5:Y16)</f>
        <v>0.67263660322643715</v>
      </c>
      <c r="Z18" s="14">
        <f t="shared" ref="Z18:AC18" si="20">STDEV(Z5:Z16)</f>
        <v>0.24041630560342631</v>
      </c>
      <c r="AA18" s="14">
        <f t="shared" si="20"/>
        <v>0.70718419711486769</v>
      </c>
      <c r="AB18" s="14">
        <f t="shared" si="20"/>
        <v>0.48809152147249329</v>
      </c>
      <c r="AC18" s="14">
        <f t="shared" si="20"/>
        <v>0.22598183577115219</v>
      </c>
      <c r="AD18" s="14"/>
      <c r="AE18" s="14">
        <f t="shared" ref="AE18:AH18" si="21">STDEV(AE5:AE16)</f>
        <v>0.65053823869162375</v>
      </c>
      <c r="AF18" s="14">
        <f t="shared" si="21"/>
        <v>0.37402094415509202</v>
      </c>
      <c r="AG18" s="14">
        <f t="shared" si="21"/>
        <v>0.34770677301427411</v>
      </c>
      <c r="AH18" s="14">
        <f t="shared" si="21"/>
        <v>0.33154185256163382</v>
      </c>
      <c r="AI18" s="14">
        <f>STDEV(AI5:AI16)</f>
        <v>3.0550504633039068E-2</v>
      </c>
    </row>
    <row r="19" spans="1:35" x14ac:dyDescent="0.2">
      <c r="A19" s="12"/>
      <c r="B19" s="12"/>
      <c r="C19" s="12"/>
      <c r="D19" s="12"/>
      <c r="E19" s="12"/>
      <c r="G19" s="12"/>
      <c r="H19" s="12"/>
      <c r="I19" s="12"/>
      <c r="J19" s="12"/>
      <c r="K19" s="12"/>
    </row>
    <row r="20" spans="1:35" x14ac:dyDescent="0.2">
      <c r="A20" s="12"/>
      <c r="B20" s="12"/>
      <c r="C20" s="12"/>
      <c r="D20" s="12"/>
      <c r="E20" s="12"/>
    </row>
    <row r="21" spans="1:35" x14ac:dyDescent="0.2">
      <c r="A21" s="12"/>
      <c r="B21" s="12"/>
      <c r="C21" s="12"/>
      <c r="D21" s="12"/>
      <c r="E21" s="12"/>
    </row>
    <row r="22" spans="1:35" x14ac:dyDescent="0.2">
      <c r="A22" s="12"/>
      <c r="B22" s="12"/>
      <c r="C22" s="12"/>
      <c r="D22" s="12"/>
      <c r="E22" s="12"/>
    </row>
    <row r="23" spans="1:35" x14ac:dyDescent="0.2">
      <c r="A23" s="12"/>
      <c r="B23" s="12"/>
      <c r="C23" s="12"/>
      <c r="D23" s="12"/>
      <c r="E23" s="12"/>
    </row>
    <row r="24" spans="1:35" x14ac:dyDescent="0.2">
      <c r="A24" s="12"/>
      <c r="B24" s="12"/>
      <c r="C24" s="12"/>
      <c r="D24" s="12"/>
      <c r="E24" s="12"/>
    </row>
    <row r="25" spans="1:35" x14ac:dyDescent="0.2">
      <c r="A25" s="12"/>
      <c r="B25" s="12"/>
      <c r="C25" s="12"/>
      <c r="D25" s="12"/>
      <c r="E25" s="12"/>
    </row>
    <row r="26" spans="1:35" x14ac:dyDescent="0.2">
      <c r="A26" s="12"/>
      <c r="B26" s="12"/>
      <c r="C26" s="12"/>
      <c r="D26" s="12"/>
      <c r="E26" s="12"/>
    </row>
    <row r="27" spans="1:35" x14ac:dyDescent="0.2">
      <c r="A27" s="12"/>
      <c r="B27" s="12"/>
      <c r="C27" s="12"/>
      <c r="D27" s="12"/>
      <c r="E27" s="12"/>
    </row>
    <row r="28" spans="1:35" x14ac:dyDescent="0.2">
      <c r="A28" s="12"/>
      <c r="B28" s="12"/>
      <c r="C28" s="12"/>
      <c r="D28" s="12"/>
      <c r="E28" s="12"/>
    </row>
    <row r="29" spans="1:35" x14ac:dyDescent="0.2">
      <c r="A29" s="12"/>
      <c r="B29" s="12"/>
      <c r="C29" s="12"/>
      <c r="D29" s="12"/>
      <c r="E29" s="12"/>
    </row>
    <row r="30" spans="1:35" x14ac:dyDescent="0.2">
      <c r="A30" s="12"/>
      <c r="B30" s="12"/>
      <c r="C30" s="12"/>
      <c r="D30" s="12"/>
      <c r="E30" s="12"/>
    </row>
    <row r="31" spans="1:35" x14ac:dyDescent="0.2">
      <c r="A31" s="12"/>
      <c r="B31" s="12"/>
      <c r="C31" s="12"/>
      <c r="D31" s="12"/>
      <c r="E31" s="12"/>
    </row>
    <row r="32" spans="1:35" x14ac:dyDescent="0.2">
      <c r="A32" s="12"/>
      <c r="B32" s="12"/>
      <c r="C32" s="12"/>
      <c r="D32" s="12"/>
      <c r="E32" s="12"/>
    </row>
    <row r="33" spans="1:5" x14ac:dyDescent="0.2">
      <c r="A33" s="12"/>
      <c r="B33" s="12"/>
      <c r="C33" s="12"/>
      <c r="D33" s="12"/>
      <c r="E33" s="12"/>
    </row>
    <row r="34" spans="1:5" x14ac:dyDescent="0.2">
      <c r="A34" s="12"/>
      <c r="B34" s="12"/>
      <c r="C34" s="12"/>
      <c r="D34" s="12"/>
      <c r="E34" s="12"/>
    </row>
    <row r="35" spans="1:5" x14ac:dyDescent="0.2">
      <c r="A35" s="12"/>
      <c r="B35" s="12"/>
      <c r="C35" s="12"/>
      <c r="D35" s="12"/>
      <c r="E35" s="12"/>
    </row>
    <row r="36" spans="1:5" x14ac:dyDescent="0.2">
      <c r="A36" s="12"/>
      <c r="B36" s="12"/>
      <c r="C36" s="12"/>
      <c r="D36" s="12"/>
      <c r="E36" s="12"/>
    </row>
    <row r="37" spans="1:5" x14ac:dyDescent="0.2">
      <c r="A37" s="12"/>
      <c r="B37" s="12"/>
      <c r="C37" s="12"/>
      <c r="D37" s="12"/>
      <c r="E37" s="12"/>
    </row>
    <row r="38" spans="1:5" x14ac:dyDescent="0.2">
      <c r="A38" s="12"/>
      <c r="B38" s="12"/>
      <c r="C38" s="12"/>
      <c r="D38" s="12"/>
      <c r="E38" s="12"/>
    </row>
    <row r="39" spans="1:5" x14ac:dyDescent="0.2">
      <c r="A39" s="12"/>
      <c r="B39" s="12"/>
      <c r="C39" s="12"/>
      <c r="D39" s="12"/>
      <c r="E39" s="12"/>
    </row>
    <row r="40" spans="1:5" x14ac:dyDescent="0.2">
      <c r="A40" s="12"/>
      <c r="B40" s="12"/>
      <c r="C40" s="12"/>
      <c r="D40" s="12"/>
      <c r="E40" s="12"/>
    </row>
    <row r="41" spans="1:5" x14ac:dyDescent="0.2">
      <c r="A41" s="12"/>
      <c r="B41" s="12"/>
      <c r="C41" s="12"/>
      <c r="D41" s="12"/>
      <c r="E41" s="12"/>
    </row>
    <row r="42" spans="1:5" x14ac:dyDescent="0.2">
      <c r="A42" s="12"/>
      <c r="B42" s="12"/>
      <c r="C42" s="12"/>
      <c r="D42" s="12"/>
      <c r="E42" s="12"/>
    </row>
    <row r="43" spans="1:5" x14ac:dyDescent="0.2">
      <c r="A43" s="12"/>
      <c r="B43" s="12"/>
      <c r="C43" s="12"/>
      <c r="D43" s="12"/>
      <c r="E43" s="12"/>
    </row>
    <row r="44" spans="1:5" x14ac:dyDescent="0.2">
      <c r="A44" s="12"/>
      <c r="B44" s="12"/>
      <c r="C44" s="12"/>
      <c r="D44" s="12"/>
      <c r="E44" s="12"/>
    </row>
    <row r="45" spans="1:5" x14ac:dyDescent="0.2">
      <c r="A45" s="12"/>
      <c r="B45" s="12"/>
      <c r="C45" s="12"/>
      <c r="D45" s="12"/>
      <c r="E45" s="12"/>
    </row>
    <row r="46" spans="1:5" x14ac:dyDescent="0.2">
      <c r="A46" s="12"/>
      <c r="B46" s="12"/>
      <c r="C46" s="12"/>
      <c r="D46" s="12"/>
      <c r="E46" s="12"/>
    </row>
    <row r="47" spans="1:5" x14ac:dyDescent="0.2">
      <c r="A47" s="12"/>
      <c r="B47" s="12"/>
      <c r="C47" s="12"/>
      <c r="D47" s="12"/>
      <c r="E47" s="12"/>
    </row>
    <row r="48" spans="1:5" x14ac:dyDescent="0.2">
      <c r="A48" s="12"/>
      <c r="B48" s="12"/>
      <c r="C48" s="12"/>
      <c r="D48" s="12"/>
      <c r="E48" s="12"/>
    </row>
    <row r="49" spans="1:5" x14ac:dyDescent="0.2">
      <c r="A49" s="12"/>
      <c r="B49" s="12"/>
      <c r="C49" s="12"/>
      <c r="D49" s="12"/>
      <c r="E49" s="12"/>
    </row>
    <row r="50" spans="1:5" x14ac:dyDescent="0.2">
      <c r="A50" s="12"/>
      <c r="B50" s="12"/>
      <c r="C50" s="12"/>
      <c r="D50" s="12"/>
      <c r="E50" s="12"/>
    </row>
    <row r="51" spans="1:5" x14ac:dyDescent="0.2">
      <c r="A51" s="12"/>
      <c r="B51" s="12"/>
      <c r="C51" s="12"/>
      <c r="D51" s="12"/>
      <c r="E51" s="12"/>
    </row>
    <row r="52" spans="1:5" x14ac:dyDescent="0.2">
      <c r="A52" s="12"/>
      <c r="B52" s="12"/>
      <c r="C52" s="12"/>
      <c r="D52" s="12"/>
      <c r="E52" s="12"/>
    </row>
    <row r="53" spans="1:5" x14ac:dyDescent="0.2">
      <c r="A53" s="12"/>
      <c r="B53" s="12"/>
      <c r="C53" s="12"/>
      <c r="D53" s="12"/>
      <c r="E53" s="12"/>
    </row>
  </sheetData>
  <mergeCells count="3">
    <mergeCell ref="A1:K1"/>
    <mergeCell ref="M1:W1"/>
    <mergeCell ref="Y1:AI1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29755-B9AC-714C-9B57-B2A4FC00FB3B}">
  <dimension ref="B1:I47"/>
  <sheetViews>
    <sheetView workbookViewId="0">
      <selection sqref="A1:XFD1048576"/>
    </sheetView>
  </sheetViews>
  <sheetFormatPr baseColWidth="10" defaultRowHeight="16" x14ac:dyDescent="0.2"/>
  <cols>
    <col min="1" max="16384" width="10.83203125" style="9"/>
  </cols>
  <sheetData>
    <row r="1" spans="2:9" x14ac:dyDescent="0.2">
      <c r="B1" s="61" t="s">
        <v>229</v>
      </c>
      <c r="C1" s="61"/>
      <c r="E1" s="61" t="s">
        <v>222</v>
      </c>
      <c r="F1" s="61"/>
      <c r="H1" s="61" t="s">
        <v>231</v>
      </c>
      <c r="I1" s="61"/>
    </row>
    <row r="3" spans="2:9" x14ac:dyDescent="0.2">
      <c r="B3" s="11" t="s">
        <v>230</v>
      </c>
      <c r="C3" s="11" t="s">
        <v>219</v>
      </c>
      <c r="E3" s="11" t="s">
        <v>230</v>
      </c>
      <c r="F3" s="11" t="s">
        <v>219</v>
      </c>
      <c r="H3" s="11" t="s">
        <v>230</v>
      </c>
      <c r="I3" s="11" t="s">
        <v>219</v>
      </c>
    </row>
    <row r="4" spans="2:9" x14ac:dyDescent="0.2">
      <c r="B4" s="8">
        <v>17.899999999999999</v>
      </c>
      <c r="C4" s="8">
        <v>12.7</v>
      </c>
      <c r="E4" s="8">
        <v>207</v>
      </c>
      <c r="F4" s="8">
        <v>600</v>
      </c>
      <c r="H4" s="8">
        <v>0.1968</v>
      </c>
      <c r="I4" s="8">
        <v>0.14449999999999999</v>
      </c>
    </row>
    <row r="5" spans="2:9" x14ac:dyDescent="0.2">
      <c r="B5" s="8">
        <v>18.8</v>
      </c>
      <c r="C5" s="8">
        <v>12.8</v>
      </c>
      <c r="E5" s="8">
        <v>169</v>
      </c>
      <c r="F5" s="8">
        <v>600</v>
      </c>
      <c r="H5" s="8">
        <v>0.2132</v>
      </c>
      <c r="I5" s="8">
        <v>0.1394</v>
      </c>
    </row>
    <row r="6" spans="2:9" x14ac:dyDescent="0.2">
      <c r="B6" s="8">
        <v>22.5</v>
      </c>
      <c r="C6" s="8">
        <v>12.3</v>
      </c>
      <c r="E6" s="8">
        <v>166</v>
      </c>
      <c r="F6" s="8">
        <v>600</v>
      </c>
      <c r="H6" s="8">
        <v>0.26869999999999999</v>
      </c>
      <c r="I6" s="8">
        <v>0.14860000000000001</v>
      </c>
    </row>
    <row r="7" spans="2:9" x14ac:dyDescent="0.2">
      <c r="B7" s="8">
        <v>23.2</v>
      </c>
      <c r="C7" s="8">
        <v>13.5</v>
      </c>
      <c r="E7" s="8">
        <v>195</v>
      </c>
      <c r="F7" s="8">
        <v>600</v>
      </c>
      <c r="H7" s="8">
        <v>0.2707</v>
      </c>
      <c r="I7" s="8">
        <v>0.1454</v>
      </c>
    </row>
    <row r="8" spans="2:9" x14ac:dyDescent="0.2">
      <c r="B8" s="8"/>
      <c r="C8" s="8"/>
      <c r="E8" s="8"/>
      <c r="F8" s="8"/>
      <c r="H8" s="8"/>
      <c r="I8" s="8"/>
    </row>
    <row r="9" spans="2:9" x14ac:dyDescent="0.2">
      <c r="B9" s="8"/>
      <c r="C9" s="8"/>
      <c r="E9" s="8"/>
      <c r="F9" s="8"/>
      <c r="H9" s="8"/>
      <c r="I9" s="8"/>
    </row>
    <row r="10" spans="2:9" x14ac:dyDescent="0.2">
      <c r="B10" s="12"/>
      <c r="C10" s="12"/>
      <c r="E10" s="12"/>
      <c r="F10" s="12"/>
      <c r="H10" s="12"/>
      <c r="I10" s="12"/>
    </row>
    <row r="11" spans="2:9" x14ac:dyDescent="0.2">
      <c r="B11" s="13" t="e">
        <v>#DIV/0!</v>
      </c>
      <c r="C11" s="13" t="e">
        <v>#DIV/0!</v>
      </c>
      <c r="E11" s="13" t="e">
        <v>#DIV/0!</v>
      </c>
      <c r="F11" s="13" t="e">
        <v>#DIV/0!</v>
      </c>
      <c r="H11" s="13" t="e">
        <v>#DIV/0!</v>
      </c>
      <c r="I11" s="13" t="e">
        <v>#DIV/0!</v>
      </c>
    </row>
    <row r="12" spans="2:9" x14ac:dyDescent="0.2">
      <c r="B12" s="14" t="e">
        <v>#DIV/0!</v>
      </c>
      <c r="C12" s="14" t="e">
        <v>#DIV/0!</v>
      </c>
      <c r="E12" s="14" t="e">
        <v>#DIV/0!</v>
      </c>
      <c r="F12" s="14" t="e">
        <v>#DIV/0!</v>
      </c>
      <c r="H12" s="14" t="e">
        <v>#DIV/0!</v>
      </c>
      <c r="I12" s="14" t="e">
        <v>#DIV/0!</v>
      </c>
    </row>
    <row r="13" spans="2:9" x14ac:dyDescent="0.2">
      <c r="B13" s="12"/>
      <c r="C13" s="12"/>
      <c r="E13" s="12"/>
      <c r="F13" s="12"/>
      <c r="H13" s="12"/>
      <c r="I13" s="12"/>
    </row>
    <row r="14" spans="2:9" x14ac:dyDescent="0.2">
      <c r="B14" s="12"/>
      <c r="C14" s="12"/>
      <c r="E14" s="12"/>
      <c r="F14" s="12"/>
      <c r="H14" s="12"/>
      <c r="I14" s="12"/>
    </row>
    <row r="15" spans="2:9" x14ac:dyDescent="0.2">
      <c r="B15" s="12"/>
      <c r="C15" s="12"/>
      <c r="E15" s="12"/>
      <c r="F15" s="12"/>
      <c r="H15" s="12"/>
      <c r="I15" s="12"/>
    </row>
    <row r="16" spans="2:9" x14ac:dyDescent="0.2">
      <c r="B16" s="12"/>
      <c r="C16" s="12"/>
      <c r="E16" s="12"/>
      <c r="F16" s="12"/>
      <c r="H16" s="12"/>
      <c r="I16" s="12"/>
    </row>
    <row r="17" spans="2:9" x14ac:dyDescent="0.2">
      <c r="B17" s="12"/>
      <c r="C17" s="12"/>
      <c r="E17" s="12"/>
      <c r="F17" s="12"/>
      <c r="H17" s="12"/>
      <c r="I17" s="12"/>
    </row>
    <row r="18" spans="2:9" x14ac:dyDescent="0.2">
      <c r="B18" s="12"/>
      <c r="C18" s="12"/>
      <c r="E18" s="12"/>
      <c r="F18" s="12"/>
      <c r="H18" s="12"/>
      <c r="I18" s="12"/>
    </row>
    <row r="19" spans="2:9" x14ac:dyDescent="0.2">
      <c r="B19" s="12"/>
      <c r="C19" s="12"/>
      <c r="E19" s="12"/>
      <c r="F19" s="12"/>
      <c r="H19" s="12"/>
      <c r="I19" s="12"/>
    </row>
    <row r="20" spans="2:9" x14ac:dyDescent="0.2">
      <c r="B20" s="12"/>
      <c r="C20" s="12"/>
      <c r="E20" s="12"/>
      <c r="F20" s="12"/>
      <c r="H20" s="12"/>
      <c r="I20" s="12"/>
    </row>
    <row r="21" spans="2:9" x14ac:dyDescent="0.2">
      <c r="B21" s="12"/>
      <c r="C21" s="12"/>
      <c r="E21" s="12"/>
      <c r="F21" s="12"/>
      <c r="H21" s="12"/>
      <c r="I21" s="12"/>
    </row>
    <row r="22" spans="2:9" x14ac:dyDescent="0.2">
      <c r="B22" s="12"/>
      <c r="C22" s="12"/>
      <c r="E22" s="12"/>
      <c r="F22" s="12"/>
      <c r="H22" s="12"/>
      <c r="I22" s="12"/>
    </row>
    <row r="23" spans="2:9" x14ac:dyDescent="0.2">
      <c r="B23" s="12"/>
      <c r="C23" s="12"/>
      <c r="E23" s="12"/>
      <c r="F23" s="12"/>
      <c r="H23" s="12"/>
      <c r="I23" s="12"/>
    </row>
    <row r="24" spans="2:9" x14ac:dyDescent="0.2">
      <c r="B24" s="12"/>
      <c r="C24" s="12"/>
      <c r="E24" s="12"/>
      <c r="F24" s="12"/>
      <c r="H24" s="12"/>
      <c r="I24" s="12"/>
    </row>
    <row r="25" spans="2:9" x14ac:dyDescent="0.2">
      <c r="B25" s="12"/>
      <c r="C25" s="12"/>
      <c r="E25" s="12"/>
      <c r="F25" s="12"/>
      <c r="H25" s="12"/>
      <c r="I25" s="12"/>
    </row>
    <row r="26" spans="2:9" x14ac:dyDescent="0.2">
      <c r="B26" s="12"/>
      <c r="C26" s="12"/>
      <c r="E26" s="12"/>
      <c r="F26" s="12"/>
      <c r="H26" s="12"/>
      <c r="I26" s="12"/>
    </row>
    <row r="27" spans="2:9" x14ac:dyDescent="0.2">
      <c r="B27" s="12"/>
      <c r="C27" s="12"/>
      <c r="E27" s="12"/>
      <c r="F27" s="12"/>
      <c r="H27" s="12"/>
      <c r="I27" s="12"/>
    </row>
    <row r="28" spans="2:9" x14ac:dyDescent="0.2">
      <c r="B28" s="12"/>
      <c r="C28" s="12"/>
      <c r="E28" s="12"/>
      <c r="F28" s="12"/>
      <c r="H28" s="12"/>
      <c r="I28" s="12"/>
    </row>
    <row r="29" spans="2:9" x14ac:dyDescent="0.2">
      <c r="B29" s="12"/>
      <c r="C29" s="12"/>
      <c r="E29" s="12"/>
      <c r="F29" s="12"/>
      <c r="H29" s="12"/>
      <c r="I29" s="12"/>
    </row>
    <row r="30" spans="2:9" x14ac:dyDescent="0.2">
      <c r="B30" s="12"/>
      <c r="C30" s="12"/>
      <c r="E30" s="12"/>
      <c r="F30" s="12"/>
      <c r="H30" s="12"/>
      <c r="I30" s="12"/>
    </row>
    <row r="31" spans="2:9" x14ac:dyDescent="0.2">
      <c r="B31" s="12"/>
      <c r="C31" s="12"/>
      <c r="E31" s="12"/>
      <c r="F31" s="12"/>
      <c r="H31" s="12"/>
      <c r="I31" s="12"/>
    </row>
    <row r="32" spans="2:9" x14ac:dyDescent="0.2">
      <c r="B32" s="12"/>
      <c r="C32" s="12"/>
      <c r="E32" s="12"/>
      <c r="F32" s="12"/>
      <c r="H32" s="12"/>
      <c r="I32" s="12"/>
    </row>
    <row r="33" spans="2:9" x14ac:dyDescent="0.2">
      <c r="B33" s="12"/>
      <c r="C33" s="12"/>
      <c r="E33" s="12"/>
      <c r="F33" s="12"/>
      <c r="H33" s="12"/>
      <c r="I33" s="12"/>
    </row>
    <row r="34" spans="2:9" x14ac:dyDescent="0.2">
      <c r="B34" s="12"/>
      <c r="C34" s="12"/>
      <c r="E34" s="12"/>
      <c r="F34" s="12"/>
      <c r="H34" s="12"/>
      <c r="I34" s="12"/>
    </row>
    <row r="35" spans="2:9" x14ac:dyDescent="0.2">
      <c r="B35" s="12"/>
      <c r="C35" s="12"/>
      <c r="E35" s="12"/>
      <c r="F35" s="12"/>
      <c r="H35" s="12"/>
      <c r="I35" s="12"/>
    </row>
    <row r="36" spans="2:9" x14ac:dyDescent="0.2">
      <c r="B36" s="12"/>
      <c r="C36" s="12"/>
      <c r="E36" s="12"/>
      <c r="F36" s="12"/>
      <c r="H36" s="12"/>
      <c r="I36" s="12"/>
    </row>
    <row r="37" spans="2:9" x14ac:dyDescent="0.2">
      <c r="B37" s="12"/>
      <c r="C37" s="12"/>
      <c r="E37" s="12"/>
      <c r="F37" s="12"/>
      <c r="H37" s="12"/>
      <c r="I37" s="12"/>
    </row>
    <row r="38" spans="2:9" x14ac:dyDescent="0.2">
      <c r="B38" s="12"/>
      <c r="C38" s="12"/>
      <c r="E38" s="12"/>
      <c r="F38" s="12"/>
      <c r="H38" s="12"/>
      <c r="I38" s="12"/>
    </row>
    <row r="39" spans="2:9" x14ac:dyDescent="0.2">
      <c r="B39" s="12"/>
      <c r="C39" s="12"/>
      <c r="E39" s="12"/>
      <c r="F39" s="12"/>
      <c r="H39" s="12"/>
      <c r="I39" s="12"/>
    </row>
    <row r="40" spans="2:9" x14ac:dyDescent="0.2">
      <c r="B40" s="12"/>
      <c r="C40" s="12"/>
      <c r="E40" s="12"/>
      <c r="F40" s="12"/>
      <c r="H40" s="12"/>
      <c r="I40" s="12"/>
    </row>
    <row r="41" spans="2:9" x14ac:dyDescent="0.2">
      <c r="B41" s="12"/>
      <c r="C41" s="12"/>
      <c r="E41" s="12"/>
      <c r="F41" s="12"/>
      <c r="H41" s="12"/>
      <c r="I41" s="12"/>
    </row>
    <row r="42" spans="2:9" x14ac:dyDescent="0.2">
      <c r="B42" s="12"/>
      <c r="C42" s="12"/>
      <c r="E42" s="12"/>
      <c r="F42" s="12"/>
      <c r="H42" s="12"/>
      <c r="I42" s="12"/>
    </row>
    <row r="43" spans="2:9" x14ac:dyDescent="0.2">
      <c r="B43" s="12"/>
      <c r="C43" s="12"/>
      <c r="E43" s="12"/>
      <c r="F43" s="12"/>
      <c r="H43" s="12"/>
      <c r="I43" s="12"/>
    </row>
    <row r="44" spans="2:9" x14ac:dyDescent="0.2">
      <c r="B44" s="12"/>
      <c r="C44" s="12"/>
      <c r="E44" s="12"/>
      <c r="F44" s="12"/>
      <c r="H44" s="12"/>
      <c r="I44" s="12"/>
    </row>
    <row r="45" spans="2:9" x14ac:dyDescent="0.2">
      <c r="B45" s="12"/>
      <c r="C45" s="12"/>
      <c r="E45" s="12"/>
      <c r="F45" s="12"/>
      <c r="H45" s="12"/>
      <c r="I45" s="12"/>
    </row>
    <row r="46" spans="2:9" x14ac:dyDescent="0.2">
      <c r="B46" s="12"/>
      <c r="C46" s="12"/>
      <c r="E46" s="12"/>
      <c r="F46" s="12"/>
      <c r="H46" s="12"/>
      <c r="I46" s="12"/>
    </row>
    <row r="47" spans="2:9" x14ac:dyDescent="0.2">
      <c r="B47" s="12"/>
      <c r="C47" s="12"/>
      <c r="E47" s="12"/>
      <c r="F47" s="12"/>
      <c r="H47" s="12"/>
      <c r="I47" s="12"/>
    </row>
  </sheetData>
  <mergeCells count="3">
    <mergeCell ref="B1:C1"/>
    <mergeCell ref="E1:F1"/>
    <mergeCell ref="H1:I1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A812B-BEC1-B544-A950-FA6A768F68A3}">
  <dimension ref="A1:AB17"/>
  <sheetViews>
    <sheetView workbookViewId="0">
      <selection sqref="A1:XFD1048576"/>
    </sheetView>
  </sheetViews>
  <sheetFormatPr baseColWidth="10" defaultColWidth="11" defaultRowHeight="16" x14ac:dyDescent="0.2"/>
  <cols>
    <col min="1" max="5" width="11" style="9"/>
    <col min="6" max="6" width="0.83203125" style="9" customWidth="1"/>
    <col min="7" max="10" width="11" style="9"/>
    <col min="11" max="11" width="0.6640625" style="9" customWidth="1"/>
    <col min="12" max="16384" width="11" style="9"/>
  </cols>
  <sheetData>
    <row r="1" spans="1:28" x14ac:dyDescent="0.2">
      <c r="B1" s="5" t="s">
        <v>232</v>
      </c>
      <c r="G1" s="5" t="s">
        <v>232</v>
      </c>
      <c r="L1" s="5" t="s">
        <v>232</v>
      </c>
      <c r="P1" s="5" t="s">
        <v>233</v>
      </c>
      <c r="U1" s="5" t="s">
        <v>235</v>
      </c>
      <c r="X1" s="5" t="s">
        <v>238</v>
      </c>
    </row>
    <row r="2" spans="1:28" x14ac:dyDescent="0.2">
      <c r="B2" s="5" t="s">
        <v>0</v>
      </c>
      <c r="G2" s="5" t="s">
        <v>6</v>
      </c>
      <c r="H2" s="5"/>
      <c r="I2" s="5"/>
      <c r="J2" s="5"/>
      <c r="L2" s="5" t="s">
        <v>7</v>
      </c>
      <c r="N2" s="5"/>
      <c r="P2" s="5" t="s">
        <v>234</v>
      </c>
      <c r="R2" s="5" t="s">
        <v>236</v>
      </c>
      <c r="U2" s="5" t="s">
        <v>237</v>
      </c>
      <c r="X2" s="5" t="s">
        <v>237</v>
      </c>
    </row>
    <row r="3" spans="1:28" x14ac:dyDescent="0.2">
      <c r="B3" s="5" t="s">
        <v>221</v>
      </c>
      <c r="C3" s="5" t="s">
        <v>3</v>
      </c>
      <c r="D3" s="5" t="s">
        <v>5</v>
      </c>
      <c r="E3" s="5"/>
      <c r="G3" s="5" t="s">
        <v>220</v>
      </c>
      <c r="H3" s="5" t="s">
        <v>218</v>
      </c>
      <c r="I3" s="5" t="s">
        <v>5</v>
      </c>
      <c r="J3" s="5"/>
      <c r="L3" s="5" t="s">
        <v>220</v>
      </c>
      <c r="M3" s="5" t="s">
        <v>218</v>
      </c>
      <c r="N3" s="5" t="s">
        <v>219</v>
      </c>
      <c r="P3" s="5" t="s">
        <v>230</v>
      </c>
      <c r="Q3" s="5" t="s">
        <v>219</v>
      </c>
      <c r="R3" s="5" t="s">
        <v>230</v>
      </c>
      <c r="S3" s="5" t="s">
        <v>219</v>
      </c>
      <c r="U3" s="5" t="s">
        <v>230</v>
      </c>
      <c r="V3" s="5" t="s">
        <v>219</v>
      </c>
      <c r="X3" s="5" t="s">
        <v>239</v>
      </c>
      <c r="Y3" s="5" t="s">
        <v>2</v>
      </c>
      <c r="Z3" s="5" t="s">
        <v>3</v>
      </c>
      <c r="AA3" s="5" t="s">
        <v>4</v>
      </c>
      <c r="AB3" s="5" t="s">
        <v>5</v>
      </c>
    </row>
    <row r="4" spans="1:28" x14ac:dyDescent="0.2">
      <c r="B4" s="15">
        <v>2.23</v>
      </c>
      <c r="C4" s="15">
        <v>2.2200000000000002</v>
      </c>
      <c r="D4" s="15">
        <v>1.61</v>
      </c>
      <c r="G4" s="15">
        <v>1.35</v>
      </c>
      <c r="H4" s="15">
        <v>2.0699999999999998</v>
      </c>
      <c r="I4" s="15">
        <v>1.23</v>
      </c>
      <c r="L4" s="8">
        <v>0.5</v>
      </c>
      <c r="M4" s="15">
        <v>1.95</v>
      </c>
      <c r="N4" s="15">
        <v>0.79</v>
      </c>
      <c r="P4" s="8">
        <v>2.23</v>
      </c>
      <c r="Q4" s="8">
        <v>6.68</v>
      </c>
      <c r="R4" s="8">
        <v>2.33</v>
      </c>
      <c r="S4" s="8">
        <v>8.1</v>
      </c>
      <c r="U4" s="8">
        <v>21</v>
      </c>
      <c r="V4" s="8">
        <v>16.93</v>
      </c>
      <c r="X4" s="8">
        <v>3.7</v>
      </c>
      <c r="Y4" s="8">
        <v>3.5</v>
      </c>
      <c r="Z4" s="8">
        <v>4.3</v>
      </c>
      <c r="AA4" s="8">
        <v>3.5</v>
      </c>
      <c r="AB4" s="8">
        <v>6.2</v>
      </c>
    </row>
    <row r="5" spans="1:28" x14ac:dyDescent="0.2">
      <c r="B5" s="15">
        <v>1.44</v>
      </c>
      <c r="C5" s="15">
        <v>6.81</v>
      </c>
      <c r="D5" s="15">
        <v>1.48</v>
      </c>
      <c r="G5" s="15">
        <v>0.94</v>
      </c>
      <c r="H5" s="15">
        <v>1.67</v>
      </c>
      <c r="I5" s="15">
        <v>1.44</v>
      </c>
      <c r="L5" s="8">
        <v>0.38</v>
      </c>
      <c r="M5" s="15">
        <v>0.36</v>
      </c>
      <c r="N5" s="15">
        <v>0.25</v>
      </c>
      <c r="P5" s="8">
        <v>2.66</v>
      </c>
      <c r="Q5" s="8">
        <v>5.19</v>
      </c>
      <c r="R5" s="8">
        <v>2.2799999999999998</v>
      </c>
      <c r="S5" s="8">
        <v>9.07</v>
      </c>
      <c r="U5" s="8">
        <v>24.2</v>
      </c>
      <c r="V5" s="8">
        <v>31.55</v>
      </c>
      <c r="X5" s="8">
        <v>3.7</v>
      </c>
      <c r="Y5" s="8">
        <v>5.3</v>
      </c>
      <c r="Z5" s="8">
        <v>12.6</v>
      </c>
      <c r="AA5" s="8">
        <v>5.7</v>
      </c>
      <c r="AB5" s="8">
        <v>4.8</v>
      </c>
    </row>
    <row r="6" spans="1:28" x14ac:dyDescent="0.2">
      <c r="B6" s="15">
        <v>1.79</v>
      </c>
      <c r="C6" s="8">
        <v>1.33</v>
      </c>
      <c r="D6" s="15">
        <v>1.71</v>
      </c>
      <c r="G6" s="15">
        <v>0.56999999999999995</v>
      </c>
      <c r="H6" s="15">
        <v>1.28</v>
      </c>
      <c r="I6" s="15">
        <v>1.76</v>
      </c>
      <c r="L6" s="8">
        <v>0</v>
      </c>
      <c r="M6" s="15">
        <v>0.83</v>
      </c>
      <c r="N6" s="15">
        <v>0.54</v>
      </c>
      <c r="P6" s="8">
        <v>3.22</v>
      </c>
      <c r="Q6" s="8">
        <v>7.64</v>
      </c>
      <c r="R6" s="8">
        <v>1.8</v>
      </c>
      <c r="S6" s="8">
        <v>6.52</v>
      </c>
      <c r="U6" s="8">
        <v>7.11</v>
      </c>
      <c r="V6" s="8">
        <v>24.77</v>
      </c>
      <c r="X6" s="8">
        <v>7.5</v>
      </c>
      <c r="Y6" s="8">
        <v>6</v>
      </c>
      <c r="Z6" s="8">
        <v>5.0999999999999996</v>
      </c>
      <c r="AA6" s="8">
        <v>2.2000000000000002</v>
      </c>
      <c r="AB6" s="8">
        <v>3.4</v>
      </c>
    </row>
    <row r="7" spans="1:28" x14ac:dyDescent="0.2">
      <c r="B7" s="22"/>
      <c r="C7" s="22"/>
      <c r="D7" s="15">
        <v>3.67</v>
      </c>
      <c r="G7" s="15">
        <v>1.4</v>
      </c>
      <c r="H7" s="15">
        <v>1.36</v>
      </c>
      <c r="I7" s="15">
        <v>1.27</v>
      </c>
      <c r="L7" s="8">
        <v>0.36</v>
      </c>
      <c r="M7" s="15">
        <v>0</v>
      </c>
      <c r="N7" s="22"/>
      <c r="P7" s="8">
        <v>3.31</v>
      </c>
      <c r="Q7" s="8">
        <v>8.2899999999999991</v>
      </c>
      <c r="R7" s="8">
        <v>1.91</v>
      </c>
      <c r="S7" s="8">
        <v>7.09</v>
      </c>
      <c r="U7" s="8"/>
      <c r="V7" s="15"/>
      <c r="X7" s="8">
        <v>4.9000000000000004</v>
      </c>
      <c r="Y7" s="8">
        <v>16.100000000000001</v>
      </c>
      <c r="Z7" s="8">
        <v>3.9</v>
      </c>
      <c r="AA7" s="8">
        <v>2.2999999999999998</v>
      </c>
      <c r="AB7" s="8">
        <v>6.6</v>
      </c>
    </row>
    <row r="8" spans="1:28" x14ac:dyDescent="0.2">
      <c r="B8" s="22"/>
      <c r="C8" s="22"/>
      <c r="D8" s="15">
        <v>1.99</v>
      </c>
      <c r="G8" s="15">
        <v>0</v>
      </c>
      <c r="H8" s="15">
        <v>0.96</v>
      </c>
      <c r="I8" s="15">
        <v>0</v>
      </c>
      <c r="L8" s="22"/>
      <c r="M8" s="15">
        <v>0.16</v>
      </c>
      <c r="N8" s="22"/>
      <c r="P8" s="8">
        <v>3.32</v>
      </c>
      <c r="Q8" s="8">
        <v>6.38</v>
      </c>
      <c r="R8" s="8">
        <v>2.75</v>
      </c>
      <c r="S8" s="8"/>
      <c r="U8" s="22"/>
      <c r="V8" s="15"/>
      <c r="X8" s="8">
        <v>4.3</v>
      </c>
      <c r="Y8" s="8"/>
      <c r="Z8" s="8">
        <v>6.3</v>
      </c>
      <c r="AA8" s="8">
        <v>4.7</v>
      </c>
      <c r="AB8" s="8">
        <v>3.3</v>
      </c>
    </row>
    <row r="9" spans="1:28" x14ac:dyDescent="0.2">
      <c r="B9" s="22"/>
      <c r="C9" s="22"/>
      <c r="D9" s="22"/>
      <c r="G9" s="15">
        <v>1.66</v>
      </c>
      <c r="H9" s="15">
        <v>0</v>
      </c>
      <c r="I9" s="22"/>
      <c r="M9" s="15">
        <v>0.37</v>
      </c>
      <c r="P9" s="8">
        <v>3.93</v>
      </c>
      <c r="Q9" s="8"/>
      <c r="R9" s="8"/>
      <c r="S9" s="8"/>
      <c r="V9" s="15"/>
      <c r="X9" s="8">
        <v>2.2999999999999998</v>
      </c>
      <c r="Y9" s="8"/>
      <c r="Z9" s="8">
        <v>3.6</v>
      </c>
      <c r="AA9" s="8"/>
      <c r="AB9" s="8">
        <v>2.2999999999999998</v>
      </c>
    </row>
    <row r="10" spans="1:28" x14ac:dyDescent="0.2">
      <c r="G10" s="15">
        <v>1.19</v>
      </c>
      <c r="H10" s="15">
        <v>2.5099999999999998</v>
      </c>
      <c r="M10" s="15">
        <v>0</v>
      </c>
      <c r="P10" s="8"/>
      <c r="Q10" s="8"/>
      <c r="R10" s="8"/>
      <c r="S10" s="8"/>
      <c r="V10" s="15"/>
      <c r="X10" s="8">
        <v>11.3</v>
      </c>
      <c r="Y10" s="8"/>
      <c r="Z10" s="8">
        <v>3.2</v>
      </c>
      <c r="AA10" s="8"/>
      <c r="AB10" s="8">
        <v>10</v>
      </c>
    </row>
    <row r="11" spans="1:28" x14ac:dyDescent="0.2">
      <c r="G11" s="15">
        <v>1.54</v>
      </c>
      <c r="H11" s="15">
        <v>1.52</v>
      </c>
      <c r="X11" s="8">
        <v>5.9</v>
      </c>
      <c r="Y11" s="8"/>
      <c r="Z11" s="8"/>
      <c r="AA11" s="8"/>
      <c r="AB11" s="8">
        <v>4.3</v>
      </c>
    </row>
    <row r="12" spans="1:28" x14ac:dyDescent="0.2">
      <c r="G12" s="15">
        <v>0.96</v>
      </c>
      <c r="H12" s="15">
        <v>0.85</v>
      </c>
      <c r="X12" s="8">
        <v>2.6</v>
      </c>
      <c r="Y12" s="8"/>
      <c r="Z12" s="8"/>
      <c r="AA12" s="8"/>
      <c r="AB12" s="8">
        <v>5.7</v>
      </c>
    </row>
    <row r="13" spans="1:28" x14ac:dyDescent="0.2">
      <c r="G13" s="15">
        <v>0.56000000000000005</v>
      </c>
      <c r="H13" s="15">
        <v>0.43</v>
      </c>
      <c r="X13" s="8">
        <v>2.2000000000000002</v>
      </c>
      <c r="Y13" s="8"/>
      <c r="Z13" s="8"/>
      <c r="AA13" s="8"/>
      <c r="AB13" s="8"/>
    </row>
    <row r="14" spans="1:28" x14ac:dyDescent="0.2">
      <c r="G14" s="15">
        <v>0.45</v>
      </c>
      <c r="H14" s="15">
        <v>0.68</v>
      </c>
      <c r="X14" s="8"/>
      <c r="Y14" s="8"/>
      <c r="Z14" s="8"/>
      <c r="AA14" s="8"/>
      <c r="AB14" s="8"/>
    </row>
    <row r="16" spans="1:28" x14ac:dyDescent="0.2">
      <c r="A16" s="17" t="s">
        <v>205</v>
      </c>
      <c r="B16" s="19">
        <f>AVERAGE(B4:B14)</f>
        <v>1.82</v>
      </c>
      <c r="C16" s="19">
        <f t="shared" ref="C16:D16" si="0">AVERAGE(C4:C14)</f>
        <v>3.4533333333333331</v>
      </c>
      <c r="D16" s="19">
        <f t="shared" si="0"/>
        <v>2.0919999999999996</v>
      </c>
      <c r="G16" s="19">
        <f>AVERAGE(G4:G14)</f>
        <v>0.96545454545454534</v>
      </c>
      <c r="H16" s="19">
        <f t="shared" ref="H16:I16" si="1">AVERAGE(H4:H14)</f>
        <v>1.2118181818181817</v>
      </c>
      <c r="I16" s="19">
        <f t="shared" si="1"/>
        <v>1.1399999999999999</v>
      </c>
      <c r="L16" s="19">
        <f>AVERAGE(L4:L14)</f>
        <v>0.31</v>
      </c>
      <c r="M16" s="19">
        <f>AVERAGE(M4:M14)</f>
        <v>0.52428571428571435</v>
      </c>
      <c r="N16" s="19">
        <f>AVERAGE(N4:N14)</f>
        <v>0.52666666666666673</v>
      </c>
      <c r="P16" s="19">
        <f>AVERAGE(P4:P14)</f>
        <v>3.1116666666666668</v>
      </c>
      <c r="Q16" s="19">
        <f>AVERAGE(Q4:Q14)</f>
        <v>6.8360000000000003</v>
      </c>
      <c r="R16" s="19">
        <f>AVERAGE(R4:R14)</f>
        <v>2.2139999999999995</v>
      </c>
      <c r="S16" s="19">
        <f>AVERAGE(S4:S14)</f>
        <v>7.6950000000000003</v>
      </c>
      <c r="U16" s="19">
        <f>AVERAGE(U4:U14)</f>
        <v>17.436666666666667</v>
      </c>
      <c r="V16" s="19">
        <f>AVERAGE(V4:V14)</f>
        <v>24.416666666666668</v>
      </c>
      <c r="X16" s="19">
        <f>AVERAGE(X4:X14)</f>
        <v>4.8400000000000007</v>
      </c>
      <c r="Y16" s="19">
        <f t="shared" ref="Y16:AB16" si="2">AVERAGE(Y4:Y14)</f>
        <v>7.7250000000000005</v>
      </c>
      <c r="Z16" s="19">
        <f t="shared" si="2"/>
        <v>5.5714285714285712</v>
      </c>
      <c r="AA16" s="19">
        <f t="shared" si="2"/>
        <v>3.6799999999999997</v>
      </c>
      <c r="AB16" s="19">
        <f t="shared" si="2"/>
        <v>5.177777777777778</v>
      </c>
    </row>
    <row r="17" spans="1:28" x14ac:dyDescent="0.2">
      <c r="A17" s="18" t="s">
        <v>206</v>
      </c>
      <c r="B17" s="20">
        <f>STDEV(B4:B14)</f>
        <v>0.39585350825779064</v>
      </c>
      <c r="C17" s="20">
        <f t="shared" ref="C17:D17" si="3">STDEV(C4:C14)</f>
        <v>2.9408218805859931</v>
      </c>
      <c r="D17" s="20">
        <f t="shared" si="3"/>
        <v>0.90184255832157367</v>
      </c>
      <c r="G17" s="20">
        <f>STDEV(G4:G14)</f>
        <v>0.52142810887721869</v>
      </c>
      <c r="H17" s="20">
        <f t="shared" ref="H17:I17" si="4">STDEV(H4:H14)</f>
        <v>0.72870869600709698</v>
      </c>
      <c r="I17" s="20">
        <f t="shared" si="4"/>
        <v>0.67063402836420427</v>
      </c>
      <c r="L17" s="20">
        <f>STDEV(L4:L14)</f>
        <v>0.21571586249817915</v>
      </c>
      <c r="M17" s="20">
        <f>STDEV(M4:M14)</f>
        <v>0.69033463245146887</v>
      </c>
      <c r="N17" s="20">
        <f>STDEV(N4:N14)</f>
        <v>0.27024680078279067</v>
      </c>
      <c r="P17" s="20">
        <f>STDEV(P4:P14)</f>
        <v>0.59084402905222377</v>
      </c>
      <c r="Q17" s="20">
        <f>STDEV(Q4:Q14)</f>
        <v>1.1939556105651479</v>
      </c>
      <c r="R17" s="20">
        <f>STDEV(R4:R14)</f>
        <v>0.37713392846573934</v>
      </c>
      <c r="S17" s="20">
        <f>STDEV(S4:S14)</f>
        <v>1.1256553646654062</v>
      </c>
      <c r="U17" s="20">
        <f>STDEV(U4:U14)</f>
        <v>9.085154557481852</v>
      </c>
      <c r="V17" s="20">
        <f>STDEV(V4:V14)</f>
        <v>7.3164016656641682</v>
      </c>
      <c r="X17" s="20">
        <f>STDEV(X4:X14)</f>
        <v>2.8139335852543175</v>
      </c>
      <c r="Y17" s="20">
        <f t="shared" ref="Y17:AB17" si="5">STDEV(Y4:Y14)</f>
        <v>5.6817690906970171</v>
      </c>
      <c r="Z17" s="20">
        <f t="shared" si="5"/>
        <v>3.2678812125056833</v>
      </c>
      <c r="AA17" s="20">
        <f t="shared" si="5"/>
        <v>1.5205262246998585</v>
      </c>
      <c r="AB17" s="20">
        <f t="shared" si="5"/>
        <v>2.304223175919478</v>
      </c>
    </row>
  </sheetData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717AE1-D019-AF41-BBD0-3AEC7BBEEFD5}">
  <dimension ref="B2:F18"/>
  <sheetViews>
    <sheetView workbookViewId="0">
      <selection sqref="A1:XFD1048576"/>
    </sheetView>
  </sheetViews>
  <sheetFormatPr baseColWidth="10" defaultRowHeight="16" x14ac:dyDescent="0.2"/>
  <cols>
    <col min="1" max="16384" width="10.83203125" style="9"/>
  </cols>
  <sheetData>
    <row r="2" spans="2:6" x14ac:dyDescent="0.2">
      <c r="B2" s="5" t="s">
        <v>240</v>
      </c>
      <c r="E2" s="5" t="s">
        <v>241</v>
      </c>
    </row>
    <row r="3" spans="2:6" x14ac:dyDescent="0.2">
      <c r="B3" s="5" t="s">
        <v>237</v>
      </c>
      <c r="E3" s="5" t="s">
        <v>237</v>
      </c>
    </row>
    <row r="4" spans="2:6" x14ac:dyDescent="0.2">
      <c r="B4" s="5" t="s">
        <v>230</v>
      </c>
      <c r="C4" s="5" t="s">
        <v>219</v>
      </c>
      <c r="E4" s="5" t="s">
        <v>230</v>
      </c>
      <c r="F4" s="5" t="s">
        <v>219</v>
      </c>
    </row>
    <row r="5" spans="2:6" x14ac:dyDescent="0.2">
      <c r="B5" s="8">
        <v>18.8</v>
      </c>
      <c r="C5" s="8">
        <v>30.6</v>
      </c>
      <c r="E5" s="8">
        <v>67.5</v>
      </c>
      <c r="F5" s="8">
        <v>4.0999999999999996</v>
      </c>
    </row>
    <row r="6" spans="2:6" x14ac:dyDescent="0.2">
      <c r="B6" s="8">
        <v>14.6</v>
      </c>
      <c r="C6" s="8">
        <v>18.399999999999999</v>
      </c>
      <c r="E6" s="8">
        <v>73.7</v>
      </c>
      <c r="F6" s="8">
        <v>12.4</v>
      </c>
    </row>
    <row r="7" spans="2:6" x14ac:dyDescent="0.2">
      <c r="B7" s="8">
        <v>24.5</v>
      </c>
      <c r="C7" s="8">
        <v>30.3</v>
      </c>
      <c r="E7" s="8">
        <v>66.400000000000006</v>
      </c>
      <c r="F7" s="8">
        <v>21.7</v>
      </c>
    </row>
    <row r="8" spans="2:6" x14ac:dyDescent="0.2">
      <c r="B8" s="8"/>
      <c r="C8" s="15"/>
      <c r="E8" s="8"/>
      <c r="F8" s="15"/>
    </row>
    <row r="9" spans="2:6" x14ac:dyDescent="0.2">
      <c r="B9" s="22"/>
      <c r="C9" s="15"/>
      <c r="E9" s="22"/>
      <c r="F9" s="15"/>
    </row>
    <row r="10" spans="2:6" x14ac:dyDescent="0.2">
      <c r="C10" s="15"/>
      <c r="F10" s="15"/>
    </row>
    <row r="11" spans="2:6" x14ac:dyDescent="0.2">
      <c r="C11" s="15"/>
      <c r="F11" s="15"/>
    </row>
    <row r="17" spans="2:6" x14ac:dyDescent="0.2">
      <c r="B17" s="19">
        <f>AVERAGE(B5:B15)</f>
        <v>19.3</v>
      </c>
      <c r="C17" s="19">
        <f>AVERAGE(C5:C15)</f>
        <v>26.433333333333334</v>
      </c>
      <c r="E17" s="19">
        <f>AVERAGE(E5:E15)</f>
        <v>69.2</v>
      </c>
      <c r="F17" s="19">
        <f>AVERAGE(F5:F15)</f>
        <v>12.733333333333334</v>
      </c>
    </row>
    <row r="18" spans="2:6" x14ac:dyDescent="0.2">
      <c r="B18" s="20">
        <f>STDEV(B5:B15)</f>
        <v>4.9689032995219318</v>
      </c>
      <c r="C18" s="20">
        <f>STDEV(C5:C15)</f>
        <v>6.9586876157313888</v>
      </c>
      <c r="E18" s="20">
        <f>STDEV(E5:E15)</f>
        <v>3.9357337308308846</v>
      </c>
      <c r="F18" s="20">
        <f>STDEV(F5:F15)</f>
        <v>8.8047335753748577</v>
      </c>
    </row>
  </sheetData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7CEF91-CDB5-984F-AAEB-EF1E35200C20}">
  <dimension ref="B1:AV18"/>
  <sheetViews>
    <sheetView topLeftCell="C1" workbookViewId="0">
      <selection activeCell="V17" sqref="V17"/>
    </sheetView>
  </sheetViews>
  <sheetFormatPr baseColWidth="10" defaultRowHeight="16" x14ac:dyDescent="0.2"/>
  <cols>
    <col min="1" max="16384" width="10.83203125" style="9"/>
  </cols>
  <sheetData>
    <row r="1" spans="2:48" x14ac:dyDescent="0.2">
      <c r="B1" s="5" t="s">
        <v>242</v>
      </c>
      <c r="K1" s="5" t="s">
        <v>243</v>
      </c>
      <c r="T1" s="5" t="s">
        <v>247</v>
      </c>
      <c r="AC1" s="5" t="s">
        <v>253</v>
      </c>
      <c r="AI1" s="5" t="s">
        <v>254</v>
      </c>
    </row>
    <row r="3" spans="2:48" x14ac:dyDescent="0.2">
      <c r="B3" s="9" t="s">
        <v>46</v>
      </c>
      <c r="E3" s="9" t="s">
        <v>45</v>
      </c>
      <c r="H3" s="9" t="s">
        <v>47</v>
      </c>
      <c r="K3" s="9" t="s">
        <v>244</v>
      </c>
      <c r="N3" s="9" t="s">
        <v>245</v>
      </c>
      <c r="Q3" s="9" t="s">
        <v>246</v>
      </c>
      <c r="T3" s="9" t="s">
        <v>248</v>
      </c>
      <c r="W3" s="9" t="s">
        <v>249</v>
      </c>
      <c r="Z3" s="9" t="s">
        <v>250</v>
      </c>
      <c r="AC3" s="9" t="s">
        <v>251</v>
      </c>
      <c r="AF3" s="9" t="s">
        <v>252</v>
      </c>
      <c r="AI3" s="9" t="s">
        <v>255</v>
      </c>
      <c r="AL3" s="9" t="s">
        <v>65</v>
      </c>
      <c r="AO3" s="9" t="s">
        <v>256</v>
      </c>
      <c r="AR3" s="9" t="s">
        <v>257</v>
      </c>
      <c r="AU3" s="9" t="s">
        <v>258</v>
      </c>
    </row>
    <row r="4" spans="2:48" x14ac:dyDescent="0.2">
      <c r="B4" s="5" t="s">
        <v>36</v>
      </c>
      <c r="C4" s="5" t="s">
        <v>37</v>
      </c>
      <c r="E4" s="5" t="s">
        <v>36</v>
      </c>
      <c r="F4" s="5" t="s">
        <v>37</v>
      </c>
      <c r="H4" s="5" t="s">
        <v>36</v>
      </c>
      <c r="I4" s="5" t="s">
        <v>37</v>
      </c>
      <c r="K4" s="5" t="s">
        <v>36</v>
      </c>
      <c r="L4" s="5" t="s">
        <v>37</v>
      </c>
      <c r="N4" s="5" t="s">
        <v>36</v>
      </c>
      <c r="O4" s="5" t="s">
        <v>37</v>
      </c>
      <c r="Q4" s="5" t="s">
        <v>36</v>
      </c>
      <c r="R4" s="5" t="s">
        <v>37</v>
      </c>
      <c r="T4" s="5" t="s">
        <v>36</v>
      </c>
      <c r="U4" s="5" t="s">
        <v>37</v>
      </c>
      <c r="W4" s="5" t="s">
        <v>36</v>
      </c>
      <c r="X4" s="5" t="s">
        <v>37</v>
      </c>
      <c r="Z4" s="5" t="s">
        <v>36</v>
      </c>
      <c r="AA4" s="5" t="s">
        <v>37</v>
      </c>
      <c r="AB4" s="5"/>
      <c r="AC4" s="5" t="s">
        <v>36</v>
      </c>
      <c r="AD4" s="5" t="s">
        <v>37</v>
      </c>
      <c r="AF4" s="5" t="s">
        <v>36</v>
      </c>
      <c r="AG4" s="5" t="s">
        <v>37</v>
      </c>
      <c r="AI4" s="5" t="s">
        <v>36</v>
      </c>
      <c r="AJ4" s="5" t="s">
        <v>37</v>
      </c>
      <c r="AL4" s="5" t="s">
        <v>36</v>
      </c>
      <c r="AM4" s="5" t="s">
        <v>37</v>
      </c>
      <c r="AO4" s="5" t="s">
        <v>36</v>
      </c>
      <c r="AP4" s="5" t="s">
        <v>37</v>
      </c>
      <c r="AR4" s="5" t="s">
        <v>36</v>
      </c>
      <c r="AS4" s="5" t="s">
        <v>37</v>
      </c>
      <c r="AU4" s="5" t="s">
        <v>36</v>
      </c>
      <c r="AV4" s="5" t="s">
        <v>37</v>
      </c>
    </row>
    <row r="5" spans="2:48" x14ac:dyDescent="0.2">
      <c r="B5" s="8">
        <v>1E-3</v>
      </c>
      <c r="C5" s="8">
        <v>1334.8852367576801</v>
      </c>
      <c r="E5" s="8">
        <v>3.84</v>
      </c>
      <c r="F5" s="8">
        <v>0.26</v>
      </c>
      <c r="H5" s="8">
        <v>0.5</v>
      </c>
      <c r="I5" s="8">
        <v>1.99</v>
      </c>
      <c r="K5" s="8">
        <v>0.55000000000000004</v>
      </c>
      <c r="L5" s="8">
        <v>1.82</v>
      </c>
      <c r="N5" s="8">
        <v>0.43</v>
      </c>
      <c r="O5" s="8">
        <v>2.33</v>
      </c>
      <c r="Q5" s="8">
        <v>0.41</v>
      </c>
      <c r="R5" s="8">
        <v>2.42</v>
      </c>
      <c r="T5" s="8">
        <v>1.38</v>
      </c>
      <c r="U5" s="8">
        <v>0.6</v>
      </c>
      <c r="W5" s="8">
        <v>0.82</v>
      </c>
      <c r="X5" s="8">
        <v>1.19</v>
      </c>
      <c r="Z5" s="8">
        <v>0.59</v>
      </c>
      <c r="AA5" s="8">
        <v>1.99</v>
      </c>
      <c r="AC5" s="8">
        <v>0.76</v>
      </c>
      <c r="AD5" s="8">
        <v>1.32</v>
      </c>
      <c r="AF5" s="8">
        <v>0.94</v>
      </c>
      <c r="AG5" s="8">
        <v>1.06</v>
      </c>
      <c r="AI5" s="8">
        <v>0.84</v>
      </c>
      <c r="AJ5" s="8">
        <v>1.19</v>
      </c>
      <c r="AL5" s="8">
        <v>0.41</v>
      </c>
      <c r="AM5" s="8">
        <v>2.42</v>
      </c>
      <c r="AO5" s="8">
        <v>0.88</v>
      </c>
      <c r="AP5" s="8">
        <v>1.1399999999999999</v>
      </c>
      <c r="AR5" s="8">
        <v>0.84</v>
      </c>
      <c r="AS5" s="8">
        <v>1.2</v>
      </c>
      <c r="AU5" s="8">
        <v>1.06</v>
      </c>
      <c r="AV5" s="8">
        <v>0.94</v>
      </c>
    </row>
    <row r="6" spans="2:48" x14ac:dyDescent="0.2">
      <c r="B6" s="8">
        <v>1E-3</v>
      </c>
      <c r="C6" s="8">
        <v>1008.154</v>
      </c>
      <c r="E6" s="8">
        <v>4.8</v>
      </c>
      <c r="F6" s="8">
        <v>0.21</v>
      </c>
      <c r="H6" s="8">
        <v>0.52</v>
      </c>
      <c r="I6" s="8">
        <v>1.94</v>
      </c>
      <c r="K6" s="8">
        <v>0.6</v>
      </c>
      <c r="L6" s="8">
        <v>1.65</v>
      </c>
      <c r="N6" s="8">
        <v>0.41</v>
      </c>
      <c r="O6" s="8">
        <v>2.4300000000000002</v>
      </c>
      <c r="Q6" s="8">
        <v>0.41037080399999998</v>
      </c>
      <c r="R6" s="8">
        <v>2.4368205270000001</v>
      </c>
      <c r="T6" s="8">
        <v>1.37</v>
      </c>
      <c r="U6" s="8">
        <v>0.65</v>
      </c>
      <c r="W6" s="8">
        <v>0.92</v>
      </c>
      <c r="X6" s="8">
        <v>1.08</v>
      </c>
      <c r="Z6" s="8">
        <v>0.67</v>
      </c>
      <c r="AA6" s="8">
        <v>1.67</v>
      </c>
      <c r="AC6" s="8">
        <v>0.75</v>
      </c>
      <c r="AD6" s="8">
        <v>1.34</v>
      </c>
      <c r="AF6" s="8">
        <v>1.08</v>
      </c>
      <c r="AG6" s="8">
        <v>0.93</v>
      </c>
      <c r="AI6" s="8">
        <v>0.33</v>
      </c>
      <c r="AJ6" s="8">
        <v>3.01</v>
      </c>
      <c r="AL6" s="8">
        <v>0.41</v>
      </c>
      <c r="AM6" s="8">
        <v>2.44</v>
      </c>
      <c r="AO6" s="8">
        <v>0.71</v>
      </c>
      <c r="AP6" s="8">
        <v>1.4</v>
      </c>
      <c r="AR6" s="8">
        <v>0.901250463</v>
      </c>
      <c r="AS6" s="8">
        <v>1.109569472</v>
      </c>
      <c r="AU6" s="8">
        <v>1.150690623</v>
      </c>
      <c r="AV6" s="8">
        <v>0.86904331999999995</v>
      </c>
    </row>
    <row r="7" spans="2:48" x14ac:dyDescent="0.2">
      <c r="B7" s="8">
        <v>1E-3</v>
      </c>
      <c r="C7" s="8">
        <v>1683.7940000000001</v>
      </c>
      <c r="E7" s="8">
        <v>3.44</v>
      </c>
      <c r="F7" s="8">
        <v>0.28999999999999998</v>
      </c>
      <c r="H7" s="8">
        <v>0.24</v>
      </c>
      <c r="I7" s="8">
        <v>4.24</v>
      </c>
      <c r="K7" s="8">
        <v>0.19</v>
      </c>
      <c r="L7" s="8">
        <v>5.36</v>
      </c>
      <c r="N7" s="8">
        <v>0.13</v>
      </c>
      <c r="O7" s="8">
        <v>7.44</v>
      </c>
      <c r="Q7" s="8">
        <v>0.13</v>
      </c>
      <c r="R7" s="8">
        <v>7.53</v>
      </c>
      <c r="T7" s="8">
        <v>1.33</v>
      </c>
      <c r="U7" s="8">
        <v>0.67</v>
      </c>
      <c r="W7" s="8">
        <v>0.42</v>
      </c>
      <c r="X7" s="8">
        <v>1.56</v>
      </c>
      <c r="Z7" s="8">
        <v>0.31</v>
      </c>
      <c r="AA7" s="8">
        <v>2.35</v>
      </c>
      <c r="AC7" s="8">
        <v>0.31</v>
      </c>
      <c r="AD7" s="8">
        <v>3.27</v>
      </c>
      <c r="AF7" s="8">
        <v>0.38</v>
      </c>
      <c r="AG7" s="8">
        <v>2.63</v>
      </c>
      <c r="AI7" s="8">
        <v>0.69</v>
      </c>
      <c r="AJ7" s="8">
        <v>1.46</v>
      </c>
      <c r="AL7" s="8">
        <v>0.22</v>
      </c>
      <c r="AM7" s="8">
        <v>4.54</v>
      </c>
      <c r="AO7" s="8">
        <v>0.4</v>
      </c>
      <c r="AP7" s="8">
        <v>2.5</v>
      </c>
      <c r="AR7" s="8">
        <v>0.59</v>
      </c>
      <c r="AS7" s="8">
        <v>1.68</v>
      </c>
      <c r="AU7" s="8">
        <v>0.72</v>
      </c>
      <c r="AV7" s="8">
        <v>1.39</v>
      </c>
    </row>
    <row r="8" spans="2:48" x14ac:dyDescent="0.2">
      <c r="B8" s="8">
        <v>1E-3</v>
      </c>
      <c r="C8" s="8">
        <v>1713.2260000000001</v>
      </c>
      <c r="E8" s="8">
        <v>3.48</v>
      </c>
      <c r="F8" s="8">
        <v>0.28999999999999998</v>
      </c>
      <c r="H8" s="8">
        <v>0.3</v>
      </c>
      <c r="I8" s="8">
        <v>3.37</v>
      </c>
      <c r="K8" s="8">
        <v>0.53</v>
      </c>
      <c r="L8" s="8">
        <v>1.88</v>
      </c>
      <c r="N8" s="8">
        <v>0.4</v>
      </c>
      <c r="O8" s="8">
        <v>2.48</v>
      </c>
      <c r="Q8" s="8">
        <v>0.30460256600000002</v>
      </c>
      <c r="R8" s="8">
        <v>3.2829664350000001</v>
      </c>
      <c r="T8" s="8">
        <v>1.43</v>
      </c>
      <c r="U8" s="8">
        <v>0.42</v>
      </c>
      <c r="W8" s="8">
        <v>0.75</v>
      </c>
      <c r="X8" s="8">
        <v>1.46</v>
      </c>
      <c r="Z8" s="8">
        <v>0.46</v>
      </c>
      <c r="AA8" s="8">
        <v>3.49</v>
      </c>
      <c r="AC8" s="8">
        <v>0.67</v>
      </c>
      <c r="AD8" s="8">
        <v>1.48</v>
      </c>
      <c r="AF8" s="8">
        <v>1.01</v>
      </c>
      <c r="AG8" s="8">
        <v>0.99</v>
      </c>
      <c r="AI8" s="8">
        <v>0.82</v>
      </c>
      <c r="AJ8" s="8">
        <v>1.22</v>
      </c>
      <c r="AL8" s="8">
        <v>0.22</v>
      </c>
      <c r="AM8" s="8">
        <v>4.4800000000000004</v>
      </c>
      <c r="AO8" s="8">
        <v>0.42</v>
      </c>
      <c r="AP8" s="8">
        <v>2.37</v>
      </c>
      <c r="AR8" s="8">
        <v>0.65067092800000004</v>
      </c>
      <c r="AS8" s="8">
        <v>1.5368751810000001</v>
      </c>
      <c r="AU8" s="8">
        <v>0.75001949499999998</v>
      </c>
      <c r="AV8" s="8">
        <v>1.3332986769999999</v>
      </c>
    </row>
    <row r="9" spans="2:48" x14ac:dyDescent="0.2">
      <c r="B9" s="8"/>
      <c r="C9" s="8"/>
      <c r="E9" s="8">
        <v>3.22</v>
      </c>
      <c r="F9" s="8">
        <v>0.31</v>
      </c>
      <c r="K9" s="8">
        <v>0.51</v>
      </c>
      <c r="L9" s="8">
        <v>1.95</v>
      </c>
      <c r="N9" s="8">
        <v>0.44</v>
      </c>
      <c r="O9" s="8">
        <v>2.25</v>
      </c>
      <c r="Q9" s="8">
        <v>0.59</v>
      </c>
      <c r="R9" s="8">
        <v>1.69</v>
      </c>
      <c r="T9" s="8">
        <v>0.59</v>
      </c>
      <c r="U9" s="8">
        <v>1.4</v>
      </c>
      <c r="W9" s="8">
        <v>0.03</v>
      </c>
      <c r="X9" s="8">
        <v>1.94</v>
      </c>
      <c r="Z9" s="8">
        <v>0.05</v>
      </c>
      <c r="AA9" s="8">
        <v>1.38</v>
      </c>
      <c r="AC9" s="8">
        <v>0.67</v>
      </c>
      <c r="AD9" s="8">
        <v>1.48</v>
      </c>
      <c r="AF9" s="8">
        <v>0.81</v>
      </c>
      <c r="AG9" s="8">
        <v>1.23</v>
      </c>
      <c r="AI9" s="8">
        <v>0.9</v>
      </c>
      <c r="AJ9" s="8">
        <v>1.1100000000000001</v>
      </c>
      <c r="AL9" s="8">
        <v>0.4</v>
      </c>
      <c r="AM9" s="8">
        <v>2.5099999999999998</v>
      </c>
    </row>
    <row r="10" spans="2:48" x14ac:dyDescent="0.2">
      <c r="B10" s="8">
        <v>0</v>
      </c>
      <c r="C10" s="8">
        <v>387.35</v>
      </c>
      <c r="E10" s="8">
        <v>5.31</v>
      </c>
      <c r="F10" s="8">
        <v>0.19</v>
      </c>
      <c r="K10" s="8">
        <v>0.66</v>
      </c>
      <c r="L10" s="8">
        <v>1.51</v>
      </c>
      <c r="N10" s="8">
        <v>0.46</v>
      </c>
      <c r="O10" s="8">
        <v>2.1800000000000002</v>
      </c>
      <c r="Q10" s="8">
        <v>0.34</v>
      </c>
      <c r="R10" s="8">
        <v>2.96</v>
      </c>
      <c r="T10" s="8">
        <v>0.84</v>
      </c>
      <c r="U10" s="8">
        <v>1.1599999999999999</v>
      </c>
      <c r="W10" s="8">
        <v>0.61</v>
      </c>
      <c r="X10" s="8">
        <v>1.37</v>
      </c>
      <c r="Z10" s="8">
        <v>0.73</v>
      </c>
      <c r="AA10" s="8">
        <v>1.19</v>
      </c>
      <c r="AC10" s="8">
        <v>0.78</v>
      </c>
      <c r="AD10" s="8">
        <v>1.28</v>
      </c>
      <c r="AF10" s="8">
        <v>1.29</v>
      </c>
      <c r="AG10" s="8">
        <v>0.78</v>
      </c>
      <c r="AI10" s="8">
        <v>1.06</v>
      </c>
      <c r="AJ10" s="8">
        <v>0.95</v>
      </c>
      <c r="AL10" s="8">
        <v>1.51</v>
      </c>
      <c r="AM10" s="8">
        <v>0.66</v>
      </c>
    </row>
    <row r="11" spans="2:48" x14ac:dyDescent="0.2">
      <c r="B11" s="8">
        <v>0.01</v>
      </c>
      <c r="C11" s="8">
        <v>198.78</v>
      </c>
      <c r="E11" s="8">
        <v>2.59</v>
      </c>
      <c r="F11" s="8">
        <v>0.39</v>
      </c>
      <c r="K11" s="8">
        <v>1.62</v>
      </c>
      <c r="L11" s="8">
        <v>0.62</v>
      </c>
      <c r="N11" s="8">
        <v>0.98</v>
      </c>
      <c r="O11" s="8">
        <v>1.02</v>
      </c>
      <c r="Q11" s="8">
        <v>0.88</v>
      </c>
      <c r="R11" s="8">
        <v>1.1399999999999999</v>
      </c>
      <c r="AC11" s="8">
        <v>1.39</v>
      </c>
      <c r="AD11" s="8">
        <v>0.72</v>
      </c>
      <c r="AF11" s="8">
        <v>0.78</v>
      </c>
      <c r="AG11" s="8">
        <v>1.28</v>
      </c>
      <c r="AI11" s="8">
        <v>0.84</v>
      </c>
      <c r="AJ11" s="8">
        <v>1.19</v>
      </c>
      <c r="AL11" s="8">
        <v>0.5</v>
      </c>
      <c r="AM11" s="8">
        <v>2.0099999999999998</v>
      </c>
    </row>
    <row r="12" spans="2:48" x14ac:dyDescent="0.2">
      <c r="B12" s="8">
        <v>0.01</v>
      </c>
      <c r="C12" s="8">
        <v>67.53</v>
      </c>
      <c r="E12" s="8">
        <v>9.8800000000000008</v>
      </c>
      <c r="F12" s="8">
        <v>0.1</v>
      </c>
      <c r="K12" s="8">
        <v>0.89</v>
      </c>
      <c r="L12" s="8">
        <v>1.1200000000000001</v>
      </c>
      <c r="N12" s="8">
        <v>0.77</v>
      </c>
      <c r="O12" s="8">
        <v>1.3</v>
      </c>
      <c r="Q12" s="8">
        <v>0.74</v>
      </c>
      <c r="R12" s="8">
        <v>1.34</v>
      </c>
      <c r="AC12" s="8">
        <v>1.1599999999999999</v>
      </c>
      <c r="AD12" s="8">
        <v>0.86</v>
      </c>
      <c r="AF12" s="8">
        <v>1.27</v>
      </c>
      <c r="AG12" s="8">
        <v>0.79</v>
      </c>
      <c r="AL12" s="8">
        <v>0.37</v>
      </c>
      <c r="AM12" s="8">
        <v>2.7</v>
      </c>
    </row>
    <row r="13" spans="2:48" x14ac:dyDescent="0.2">
      <c r="B13" s="8">
        <v>0.03</v>
      </c>
      <c r="C13" s="8">
        <v>29.91</v>
      </c>
      <c r="E13" s="8">
        <v>5.41</v>
      </c>
      <c r="F13" s="8">
        <v>0.18</v>
      </c>
      <c r="K13" s="8">
        <v>0.55000000000000004</v>
      </c>
      <c r="L13" s="8">
        <v>1.82</v>
      </c>
      <c r="N13" s="8">
        <v>0.41</v>
      </c>
      <c r="O13" s="8">
        <v>2.44</v>
      </c>
      <c r="Q13" s="8">
        <v>0.31</v>
      </c>
      <c r="R13" s="8">
        <v>3.21</v>
      </c>
      <c r="AC13" s="8">
        <v>0.74</v>
      </c>
      <c r="AD13" s="8">
        <v>1.36</v>
      </c>
      <c r="AF13" s="8">
        <v>1.02</v>
      </c>
      <c r="AG13" s="8">
        <v>0.98</v>
      </c>
      <c r="AL13" s="8">
        <v>0.52</v>
      </c>
      <c r="AM13" s="8">
        <v>1.94</v>
      </c>
    </row>
    <row r="14" spans="2:48" x14ac:dyDescent="0.2">
      <c r="B14" s="8"/>
      <c r="C14" s="8"/>
      <c r="E14" s="8"/>
      <c r="F14" s="8"/>
      <c r="K14" s="8">
        <v>0.91</v>
      </c>
      <c r="L14" s="8">
        <v>1.1000000000000001</v>
      </c>
      <c r="N14" s="8">
        <v>0.87</v>
      </c>
      <c r="O14" s="8">
        <v>1.1499999999999999</v>
      </c>
      <c r="Q14" s="8">
        <v>0.66</v>
      </c>
      <c r="R14" s="8">
        <v>1.51</v>
      </c>
      <c r="AC14" s="8">
        <v>1.02</v>
      </c>
      <c r="AD14" s="8">
        <v>0.98</v>
      </c>
      <c r="AF14" s="8">
        <v>1.35</v>
      </c>
      <c r="AG14" s="8">
        <v>0.74</v>
      </c>
      <c r="AL14" s="8">
        <v>0.44</v>
      </c>
      <c r="AM14" s="8">
        <v>2.2799999999999998</v>
      </c>
    </row>
    <row r="15" spans="2:48" x14ac:dyDescent="0.2">
      <c r="B15" s="8"/>
      <c r="C15" s="8"/>
      <c r="E15" s="8"/>
      <c r="F15" s="8"/>
    </row>
    <row r="16" spans="2:48" x14ac:dyDescent="0.2">
      <c r="B16" s="8"/>
      <c r="C16" s="8"/>
      <c r="E16" s="8"/>
      <c r="F16" s="8"/>
    </row>
    <row r="17" spans="2:48" x14ac:dyDescent="0.2">
      <c r="B17" s="19">
        <f>AVERAGE(B5:B16)</f>
        <v>6.7499999999999999E-3</v>
      </c>
      <c r="C17" s="19">
        <f>AVERAGE(C5:C16)</f>
        <v>802.95365459471009</v>
      </c>
      <c r="E17" s="19">
        <f>AVERAGE(E5:E16)</f>
        <v>4.6633333333333331</v>
      </c>
      <c r="F17" s="19">
        <f>AVERAGE(F5:F16)</f>
        <v>0.2466666666666667</v>
      </c>
      <c r="H17" s="19">
        <f>AVERAGE(H5:H16)</f>
        <v>0.39</v>
      </c>
      <c r="I17" s="19">
        <f>AVERAGE(I5:I16)</f>
        <v>2.8849999999999998</v>
      </c>
      <c r="K17" s="19">
        <f>AVERAGE(K5:K16)</f>
        <v>0.70099999999999996</v>
      </c>
      <c r="L17" s="19">
        <f>AVERAGE(L5:L16)</f>
        <v>1.8830000000000002</v>
      </c>
      <c r="N17" s="19">
        <f>AVERAGE(N5:N16)</f>
        <v>0.53</v>
      </c>
      <c r="O17" s="19">
        <f>AVERAGE(O5:O16)</f>
        <v>2.5019999999999998</v>
      </c>
      <c r="Q17" s="19">
        <f>AVERAGE(Q5:Q16)</f>
        <v>0.47749733699999997</v>
      </c>
      <c r="R17" s="19">
        <f>AVERAGE(R5:R16)</f>
        <v>2.7519786962000006</v>
      </c>
      <c r="T17" s="19">
        <f>AVERAGE(T5:T16)</f>
        <v>1.1566666666666665</v>
      </c>
      <c r="U17" s="19">
        <f>AVERAGE(U5:U16)</f>
        <v>0.81666666666666654</v>
      </c>
      <c r="W17" s="19">
        <f>AVERAGE(W5:W16)</f>
        <v>0.59166666666666667</v>
      </c>
      <c r="X17" s="19">
        <f>AVERAGE(X5:X16)</f>
        <v>1.4333333333333336</v>
      </c>
      <c r="Z17" s="19">
        <f>AVERAGE(Z5:Z16)</f>
        <v>0.46833333333333332</v>
      </c>
      <c r="AA17" s="19">
        <f>AVERAGE(AA5:AA16)</f>
        <v>2.0116666666666663</v>
      </c>
      <c r="AB17" s="19"/>
      <c r="AC17" s="19">
        <f>AVERAGE(AC5:AC16)</f>
        <v>0.82499999999999996</v>
      </c>
      <c r="AD17" s="19">
        <f>AVERAGE(AD5:AD16)</f>
        <v>1.409</v>
      </c>
      <c r="AF17" s="19">
        <f>AVERAGE(AF5:AF16)</f>
        <v>0.99299999999999999</v>
      </c>
      <c r="AG17" s="19">
        <f>AVERAGE(AG5:AG16)</f>
        <v>1.1410000000000002</v>
      </c>
      <c r="AI17" s="19">
        <f>AVERAGE(AI5:AI16)</f>
        <v>0.78285714285714281</v>
      </c>
      <c r="AJ17" s="19">
        <f>AVERAGE(AJ5:AJ16)</f>
        <v>1.4471428571428571</v>
      </c>
      <c r="AL17" s="19">
        <f>AVERAGE(AL5:AL16)</f>
        <v>0.50000000000000011</v>
      </c>
      <c r="AM17" s="19">
        <f>AVERAGE(AM5:AM16)</f>
        <v>2.5980000000000003</v>
      </c>
      <c r="AO17" s="19">
        <f>AVERAGE(AO5:AO16)</f>
        <v>0.60249999999999992</v>
      </c>
      <c r="AP17" s="19">
        <f>AVERAGE(AP5:AP16)</f>
        <v>1.8525</v>
      </c>
      <c r="AR17" s="19">
        <f>AVERAGE(AR5:AR16)</f>
        <v>0.74548034775000005</v>
      </c>
      <c r="AS17" s="19">
        <f>AVERAGE(AS5:AS16)</f>
        <v>1.3816111632499999</v>
      </c>
      <c r="AU17" s="19">
        <f>AVERAGE(AU5:AU16)</f>
        <v>0.92017752950000009</v>
      </c>
      <c r="AV17" s="19">
        <f>AVERAGE(AV5:AV16)</f>
        <v>1.1330854992499999</v>
      </c>
    </row>
    <row r="18" spans="2:48" x14ac:dyDescent="0.2">
      <c r="B18" s="20">
        <f>STDEV(B5:B16)</f>
        <v>1.0278271116430872E-2</v>
      </c>
      <c r="C18" s="20">
        <f>STDEV(C5:C16)</f>
        <v>717.70770940997579</v>
      </c>
      <c r="E18" s="20">
        <f>STDEV(E5:E16)</f>
        <v>2.184164600024459</v>
      </c>
      <c r="F18" s="20">
        <f>STDEV(F5:F16)</f>
        <v>8.5877820186588294E-2</v>
      </c>
      <c r="H18" s="20">
        <f>STDEV(H5:H16)</f>
        <v>0.14094916341243968</v>
      </c>
      <c r="I18" s="20">
        <f>STDEV(I5:I16)</f>
        <v>1.1203124564156213</v>
      </c>
      <c r="K18" s="20">
        <f>STDEV(K5:K16)</f>
        <v>0.38126835110661339</v>
      </c>
      <c r="L18" s="20">
        <f>STDEV(L5:L16)</f>
        <v>1.2946818571027832</v>
      </c>
      <c r="N18" s="20">
        <f>STDEV(N5:N16)</f>
        <v>0.25914388967435736</v>
      </c>
      <c r="O18" s="20">
        <f>STDEV(O5:O16)</f>
        <v>1.8275411532074095</v>
      </c>
      <c r="Q18" s="20">
        <f>STDEV(Q5:Q16)</f>
        <v>0.2317924961800665</v>
      </c>
      <c r="R18" s="20">
        <f>STDEV(R5:R16)</f>
        <v>1.851020602885477</v>
      </c>
      <c r="T18" s="20">
        <f>STDEV(T5:T16)</f>
        <v>0.35257150574977941</v>
      </c>
      <c r="U18" s="20">
        <f>STDEV(U5:U16)</f>
        <v>0.37728857213897532</v>
      </c>
      <c r="W18" s="20">
        <f>STDEV(W5:W16)</f>
        <v>0.32566342543593491</v>
      </c>
      <c r="X18" s="20">
        <f>STDEV(X5:X16)</f>
        <v>0.30382012222146515</v>
      </c>
      <c r="Z18" s="20">
        <f>STDEV(Z5:Z16)</f>
        <v>0.25459117554751698</v>
      </c>
      <c r="AA18" s="20">
        <f>STDEV(AA5:AA16)</f>
        <v>0.83561753611725242</v>
      </c>
      <c r="AB18" s="20"/>
      <c r="AC18" s="20">
        <f>STDEV(AC5:AC16)</f>
        <v>0.29848692508122432</v>
      </c>
      <c r="AD18" s="20">
        <f>STDEV(AD5:AD16)</f>
        <v>0.70437442694445773</v>
      </c>
      <c r="AF18" s="20">
        <f>STDEV(AF5:AF16)</f>
        <v>0.29028912790143852</v>
      </c>
      <c r="AG18" s="20">
        <f>STDEV(AG5:AG16)</f>
        <v>0.55362341793757996</v>
      </c>
      <c r="AI18" s="20">
        <f>STDEV(AI5:AI16)</f>
        <v>0.22808728487973551</v>
      </c>
      <c r="AJ18" s="20">
        <f>STDEV(AJ5:AJ16)</f>
        <v>0.70561354592331649</v>
      </c>
      <c r="AL18" s="20">
        <f>STDEV(AL5:AL16)</f>
        <v>0.36878177829171532</v>
      </c>
      <c r="AM18" s="20">
        <f>STDEV(AM5:AM16)</f>
        <v>1.1558431266107574</v>
      </c>
      <c r="AO18" s="20">
        <f>STDEV(AO5:AO16)</f>
        <v>0.2330057223903883</v>
      </c>
      <c r="AP18" s="20">
        <f>STDEV(AP5:AP16)</f>
        <v>0.68300195216900095</v>
      </c>
      <c r="AR18" s="20">
        <f>STDEV(AR5:AR16)</f>
        <v>0.14872934935227322</v>
      </c>
      <c r="AS18" s="20">
        <f>STDEV(AS5:AS16)</f>
        <v>0.27088257572859298</v>
      </c>
      <c r="AU18" s="20">
        <f>STDEV(AU5:AU16)</f>
        <v>0.21734106035851414</v>
      </c>
      <c r="AV18" s="20">
        <f>STDEV(AV5:AV16)</f>
        <v>0.26651495247864693</v>
      </c>
    </row>
  </sheetData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6D5DC-E67D-8D44-8D2B-870BF3D06352}">
  <dimension ref="B2:I19"/>
  <sheetViews>
    <sheetView workbookViewId="0">
      <selection sqref="A1:XFD1048576"/>
    </sheetView>
  </sheetViews>
  <sheetFormatPr baseColWidth="10" defaultRowHeight="16" x14ac:dyDescent="0.2"/>
  <cols>
    <col min="1" max="16384" width="10.83203125" style="9"/>
  </cols>
  <sheetData>
    <row r="2" spans="2:9" x14ac:dyDescent="0.2">
      <c r="B2" s="5" t="s">
        <v>259</v>
      </c>
      <c r="H2" s="5" t="s">
        <v>262</v>
      </c>
    </row>
    <row r="4" spans="2:9" x14ac:dyDescent="0.2">
      <c r="B4" s="9" t="s">
        <v>260</v>
      </c>
      <c r="E4" s="9" t="s">
        <v>261</v>
      </c>
      <c r="H4" s="9" t="s">
        <v>263</v>
      </c>
    </row>
    <row r="5" spans="2:9" x14ac:dyDescent="0.2">
      <c r="B5" s="5" t="s">
        <v>36</v>
      </c>
      <c r="C5" s="5" t="s">
        <v>37</v>
      </c>
      <c r="E5" s="5" t="s">
        <v>36</v>
      </c>
      <c r="F5" s="5" t="s">
        <v>37</v>
      </c>
      <c r="H5" s="5" t="s">
        <v>36</v>
      </c>
      <c r="I5" s="5" t="s">
        <v>37</v>
      </c>
    </row>
    <row r="6" spans="2:9" x14ac:dyDescent="0.2">
      <c r="B6" s="8">
        <v>0.8</v>
      </c>
      <c r="C6" s="8">
        <v>1.25</v>
      </c>
      <c r="E6" s="8">
        <v>0.73</v>
      </c>
      <c r="F6" s="8">
        <v>1.36</v>
      </c>
      <c r="H6" s="8">
        <v>2.41</v>
      </c>
      <c r="I6" s="8">
        <v>2.72</v>
      </c>
    </row>
    <row r="7" spans="2:9" x14ac:dyDescent="0.2">
      <c r="B7" s="8">
        <v>1.03</v>
      </c>
      <c r="C7" s="8">
        <v>0.97</v>
      </c>
      <c r="E7" s="8">
        <v>0.79</v>
      </c>
      <c r="F7" s="8">
        <v>1.27</v>
      </c>
      <c r="H7" s="8">
        <v>2.04</v>
      </c>
      <c r="I7" s="8">
        <v>2.44</v>
      </c>
    </row>
    <row r="8" spans="2:9" x14ac:dyDescent="0.2">
      <c r="B8" s="8">
        <v>0.7</v>
      </c>
      <c r="C8" s="8">
        <v>1.42</v>
      </c>
      <c r="E8" s="8">
        <v>0.54</v>
      </c>
      <c r="F8" s="8">
        <v>1.84</v>
      </c>
      <c r="H8" s="8">
        <v>3.96</v>
      </c>
      <c r="I8" s="8">
        <v>5.0599999999999996</v>
      </c>
    </row>
    <row r="9" spans="2:9" x14ac:dyDescent="0.2">
      <c r="B9" s="8">
        <v>0.99</v>
      </c>
      <c r="C9" s="8">
        <v>1.01</v>
      </c>
      <c r="E9" s="8">
        <v>0.77</v>
      </c>
      <c r="F9" s="8">
        <v>1.31</v>
      </c>
      <c r="H9" s="8">
        <v>3.2</v>
      </c>
      <c r="I9" s="8">
        <v>3.53</v>
      </c>
    </row>
    <row r="10" spans="2:9" x14ac:dyDescent="0.2">
      <c r="B10" s="8"/>
      <c r="C10" s="8"/>
      <c r="E10" s="8"/>
      <c r="F10" s="8"/>
      <c r="H10" s="8">
        <v>4.72</v>
      </c>
      <c r="I10" s="8">
        <v>4.79</v>
      </c>
    </row>
    <row r="11" spans="2:9" x14ac:dyDescent="0.2">
      <c r="B11" s="8"/>
      <c r="C11" s="8"/>
      <c r="E11" s="8"/>
      <c r="F11" s="8"/>
      <c r="H11" s="8">
        <v>0.92</v>
      </c>
      <c r="I11" s="8">
        <v>1.01</v>
      </c>
    </row>
    <row r="12" spans="2:9" x14ac:dyDescent="0.2">
      <c r="B12" s="8"/>
      <c r="C12" s="8"/>
      <c r="E12" s="8"/>
      <c r="F12" s="8"/>
      <c r="H12" s="8"/>
      <c r="I12" s="8"/>
    </row>
    <row r="13" spans="2:9" x14ac:dyDescent="0.2">
      <c r="B13" s="8"/>
      <c r="C13" s="8"/>
      <c r="E13" s="8"/>
      <c r="F13" s="8"/>
      <c r="H13" s="8"/>
      <c r="I13" s="8"/>
    </row>
    <row r="14" spans="2:9" x14ac:dyDescent="0.2">
      <c r="B14" s="8"/>
      <c r="C14" s="8"/>
      <c r="E14" s="8"/>
      <c r="F14" s="8"/>
      <c r="H14" s="8"/>
      <c r="I14" s="8"/>
    </row>
    <row r="15" spans="2:9" x14ac:dyDescent="0.2">
      <c r="B15" s="8"/>
      <c r="C15" s="8"/>
      <c r="E15" s="8"/>
      <c r="F15" s="8"/>
      <c r="H15" s="8"/>
      <c r="I15" s="8"/>
    </row>
    <row r="16" spans="2:9" x14ac:dyDescent="0.2">
      <c r="B16" s="8"/>
      <c r="C16" s="8"/>
      <c r="E16" s="8"/>
      <c r="F16" s="8"/>
      <c r="H16" s="8"/>
      <c r="I16" s="8"/>
    </row>
    <row r="17" spans="2:9" x14ac:dyDescent="0.2">
      <c r="B17" s="8"/>
      <c r="C17" s="8"/>
      <c r="E17" s="8"/>
      <c r="F17" s="8"/>
      <c r="H17" s="8"/>
      <c r="I17" s="8"/>
    </row>
    <row r="18" spans="2:9" x14ac:dyDescent="0.2">
      <c r="B18" s="19">
        <f>AVERAGE(B6:B17)</f>
        <v>0.88000000000000012</v>
      </c>
      <c r="C18" s="19">
        <f>AVERAGE(C6:C17)</f>
        <v>1.1624999999999999</v>
      </c>
      <c r="E18" s="19">
        <f>AVERAGE(E6:E17)</f>
        <v>0.70750000000000002</v>
      </c>
      <c r="F18" s="19">
        <f>AVERAGE(F6:F17)</f>
        <v>1.4449999999999998</v>
      </c>
      <c r="H18" s="19">
        <f>AVERAGE(H6:H17)</f>
        <v>2.875</v>
      </c>
      <c r="I18" s="19">
        <f>AVERAGE(I6:I17)</f>
        <v>3.2583333333333333</v>
      </c>
    </row>
    <row r="19" spans="2:9" x14ac:dyDescent="0.2">
      <c r="B19" s="20">
        <f>STDEV(B6:B17)</f>
        <v>0.15641824275533364</v>
      </c>
      <c r="C19" s="20">
        <f>STDEV(C6:C17)</f>
        <v>0.21156165374030764</v>
      </c>
      <c r="E19" s="20">
        <f>STDEV(E6:E17)</f>
        <v>0.11441882129556592</v>
      </c>
      <c r="F19" s="20">
        <f>STDEV(F6:F17)</f>
        <v>0.26589471600616854</v>
      </c>
      <c r="H19" s="20">
        <f>STDEV(H6:H17)</f>
        <v>1.3727599935895569</v>
      </c>
      <c r="I19" s="20">
        <f>STDEV(I6:I17)</f>
        <v>1.5284163917815936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635283-EF1F-CE4A-976F-F3CC85A7A10E}">
  <dimension ref="A1:T14"/>
  <sheetViews>
    <sheetView workbookViewId="0">
      <selection sqref="A1:XFD1048576"/>
    </sheetView>
  </sheetViews>
  <sheetFormatPr baseColWidth="10" defaultColWidth="11" defaultRowHeight="16" x14ac:dyDescent="0.2"/>
  <cols>
    <col min="1" max="6" width="11" style="9"/>
    <col min="7" max="7" width="9.83203125" style="9" customWidth="1"/>
    <col min="8" max="8" width="1.1640625" style="9" customWidth="1"/>
    <col min="9" max="14" width="11" style="9"/>
    <col min="15" max="15" width="1" style="9" customWidth="1"/>
    <col min="16" max="16384" width="11" style="9"/>
  </cols>
  <sheetData>
    <row r="1" spans="1:20" x14ac:dyDescent="0.2">
      <c r="B1" s="5" t="s">
        <v>0</v>
      </c>
      <c r="I1" s="5" t="s">
        <v>6</v>
      </c>
      <c r="J1" s="5"/>
      <c r="K1" s="5"/>
      <c r="L1" s="5"/>
      <c r="M1" s="5"/>
      <c r="N1" s="5"/>
      <c r="P1" s="5" t="s">
        <v>7</v>
      </c>
      <c r="Q1" s="5"/>
      <c r="R1" s="5"/>
      <c r="S1" s="5"/>
      <c r="T1" s="5"/>
    </row>
    <row r="2" spans="1:20" x14ac:dyDescent="0.2"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/>
      <c r="I2" s="5" t="s">
        <v>1</v>
      </c>
      <c r="J2" s="5" t="s">
        <v>2</v>
      </c>
      <c r="K2" s="5" t="s">
        <v>3</v>
      </c>
      <c r="L2" s="5" t="s">
        <v>4</v>
      </c>
      <c r="M2" s="5" t="s">
        <v>5</v>
      </c>
      <c r="N2" s="5"/>
      <c r="P2" s="5" t="s">
        <v>1</v>
      </c>
      <c r="Q2" s="5" t="s">
        <v>2</v>
      </c>
      <c r="R2" s="5" t="s">
        <v>3</v>
      </c>
      <c r="S2" s="5" t="s">
        <v>4</v>
      </c>
      <c r="T2" s="5" t="s">
        <v>5</v>
      </c>
    </row>
    <row r="3" spans="1:20" x14ac:dyDescent="0.2">
      <c r="B3" s="21">
        <v>76.83</v>
      </c>
      <c r="C3" s="21">
        <v>76.88</v>
      </c>
      <c r="D3" s="21">
        <v>69.67</v>
      </c>
      <c r="E3" s="21">
        <v>76.099999999999994</v>
      </c>
      <c r="F3" s="21">
        <v>60.36</v>
      </c>
      <c r="G3" s="21"/>
      <c r="I3" s="21">
        <v>63.45</v>
      </c>
      <c r="J3" s="21">
        <v>64.83</v>
      </c>
      <c r="K3" s="8">
        <v>69.8</v>
      </c>
      <c r="L3" s="21">
        <v>74.760000000000005</v>
      </c>
      <c r="M3" s="21">
        <v>28.38</v>
      </c>
      <c r="N3" s="21"/>
      <c r="P3" s="21">
        <v>71.790000000000006</v>
      </c>
      <c r="Q3" s="8">
        <v>56.3</v>
      </c>
      <c r="R3" s="21">
        <v>78.67</v>
      </c>
      <c r="S3" s="21">
        <v>64.099999999999994</v>
      </c>
      <c r="T3" s="8">
        <v>16.5</v>
      </c>
    </row>
    <row r="4" spans="1:20" x14ac:dyDescent="0.2">
      <c r="B4" s="21">
        <v>63.06</v>
      </c>
      <c r="C4" s="21">
        <v>71.5</v>
      </c>
      <c r="D4" s="21">
        <v>74.489999999999995</v>
      </c>
      <c r="E4" s="21">
        <v>76.7</v>
      </c>
      <c r="F4" s="21">
        <v>46.95</v>
      </c>
      <c r="G4" s="21"/>
      <c r="I4" s="21">
        <v>82.3</v>
      </c>
      <c r="J4" s="21">
        <v>63.86</v>
      </c>
      <c r="K4" s="8">
        <v>58.1</v>
      </c>
      <c r="L4" s="21">
        <v>72.7</v>
      </c>
      <c r="M4" s="21">
        <v>34.020000000000003</v>
      </c>
      <c r="N4" s="21"/>
      <c r="P4" s="21">
        <v>65.900000000000006</v>
      </c>
      <c r="Q4" s="8">
        <v>65.8</v>
      </c>
      <c r="R4" s="21">
        <v>80.849999999999994</v>
      </c>
      <c r="S4" s="21">
        <v>69</v>
      </c>
      <c r="T4" s="8">
        <v>12.9</v>
      </c>
    </row>
    <row r="5" spans="1:20" x14ac:dyDescent="0.2">
      <c r="B5" s="21">
        <v>67.91</v>
      </c>
      <c r="C5" s="21"/>
      <c r="D5" s="21">
        <v>64.2</v>
      </c>
      <c r="E5" s="21">
        <v>77</v>
      </c>
      <c r="F5" s="21">
        <v>50.14</v>
      </c>
      <c r="G5" s="21"/>
      <c r="I5" s="21">
        <v>61.8</v>
      </c>
      <c r="J5" s="21">
        <v>79.86</v>
      </c>
      <c r="K5" s="8">
        <v>66.8</v>
      </c>
      <c r="L5" s="21">
        <v>70.7</v>
      </c>
      <c r="M5" s="21">
        <v>39.369999999999997</v>
      </c>
      <c r="N5" s="21"/>
      <c r="P5" s="21">
        <v>76</v>
      </c>
      <c r="Q5" s="8">
        <v>59.4</v>
      </c>
      <c r="R5" s="21">
        <v>71.760000000000005</v>
      </c>
      <c r="S5" s="21">
        <v>69.7</v>
      </c>
      <c r="T5" s="8">
        <v>13.3</v>
      </c>
    </row>
    <row r="6" spans="1:20" x14ac:dyDescent="0.2">
      <c r="B6" s="21">
        <v>54.3</v>
      </c>
      <c r="D6" s="21">
        <v>83.6</v>
      </c>
      <c r="E6" s="21">
        <v>61</v>
      </c>
      <c r="F6" s="21">
        <v>34.869999999999997</v>
      </c>
      <c r="G6" s="21"/>
      <c r="I6" s="21">
        <v>69.5</v>
      </c>
      <c r="J6" s="21">
        <v>73.31</v>
      </c>
      <c r="K6" s="8">
        <v>61.7</v>
      </c>
      <c r="L6" s="21">
        <v>66.2</v>
      </c>
      <c r="M6" s="21">
        <v>37.75</v>
      </c>
      <c r="N6" s="21"/>
      <c r="P6" s="21">
        <v>85.9</v>
      </c>
      <c r="Q6" s="8">
        <v>67.2</v>
      </c>
      <c r="R6" s="21">
        <v>86</v>
      </c>
      <c r="S6" s="21">
        <v>61</v>
      </c>
      <c r="T6" s="8">
        <v>17.7</v>
      </c>
    </row>
    <row r="7" spans="1:20" x14ac:dyDescent="0.2">
      <c r="B7" s="21">
        <v>75.400000000000006</v>
      </c>
      <c r="E7" s="21"/>
      <c r="F7" s="21">
        <v>46.18</v>
      </c>
      <c r="G7" s="21"/>
      <c r="L7" s="21">
        <v>63.5</v>
      </c>
      <c r="M7" s="21">
        <v>34.9</v>
      </c>
      <c r="N7" s="21"/>
      <c r="P7" s="21">
        <v>80.400000000000006</v>
      </c>
      <c r="R7" s="21">
        <v>73.3</v>
      </c>
      <c r="S7" s="21">
        <v>46.2</v>
      </c>
      <c r="T7" s="8">
        <v>16.5</v>
      </c>
    </row>
    <row r="8" spans="1:20" x14ac:dyDescent="0.2">
      <c r="B8" s="21">
        <v>84.5</v>
      </c>
      <c r="P8" s="21">
        <v>69.3</v>
      </c>
      <c r="R8" s="21">
        <v>66.599999999999994</v>
      </c>
      <c r="S8" s="8"/>
      <c r="T8" s="8">
        <v>20.3</v>
      </c>
    </row>
    <row r="9" spans="1:20" x14ac:dyDescent="0.2">
      <c r="P9" s="21">
        <v>69.5</v>
      </c>
      <c r="R9" s="21"/>
      <c r="S9" s="8"/>
      <c r="T9" s="21"/>
    </row>
    <row r="10" spans="1:20" x14ac:dyDescent="0.2">
      <c r="P10" s="21">
        <v>68.5</v>
      </c>
      <c r="S10" s="8"/>
      <c r="T10" s="21"/>
    </row>
    <row r="11" spans="1:20" x14ac:dyDescent="0.2">
      <c r="P11" s="21">
        <v>77.400000000000006</v>
      </c>
    </row>
    <row r="13" spans="1:20" x14ac:dyDescent="0.2">
      <c r="A13" s="17" t="s">
        <v>205</v>
      </c>
      <c r="B13" s="19">
        <f>AVERAGE(B3:B11)</f>
        <v>70.333333333333329</v>
      </c>
      <c r="C13" s="19">
        <f>AVERAGE(C3:C11)</f>
        <v>74.19</v>
      </c>
      <c r="D13" s="19">
        <f>AVERAGE(D3:D11)</f>
        <v>72.990000000000009</v>
      </c>
      <c r="E13" s="19">
        <f>AVERAGE(E3:E11)</f>
        <v>72.7</v>
      </c>
      <c r="F13" s="19">
        <f>AVERAGE(F3:F11)</f>
        <v>47.7</v>
      </c>
      <c r="I13" s="19">
        <f>AVERAGE(I3:I11)</f>
        <v>69.262500000000003</v>
      </c>
      <c r="J13" s="19">
        <f>AVERAGE(J3:J11)</f>
        <v>70.465000000000003</v>
      </c>
      <c r="K13" s="19">
        <f>AVERAGE(K3:K11)</f>
        <v>64.099999999999994</v>
      </c>
      <c r="L13" s="19">
        <f>AVERAGE(L3:L11)</f>
        <v>69.572000000000003</v>
      </c>
      <c r="M13" s="19">
        <f>AVERAGE(M3:M11)</f>
        <v>34.884</v>
      </c>
      <c r="P13" s="19">
        <f>AVERAGE(P3:P11)</f>
        <v>73.854444444444439</v>
      </c>
      <c r="Q13" s="19">
        <f>AVERAGE(Q3:Q11)</f>
        <v>62.174999999999997</v>
      </c>
      <c r="R13" s="19">
        <f>AVERAGE(R3:R11)</f>
        <v>76.196666666666658</v>
      </c>
      <c r="S13" s="19">
        <f>AVERAGE(S3:S11)</f>
        <v>62</v>
      </c>
      <c r="T13" s="19">
        <f>AVERAGE(T3:T11)</f>
        <v>16.2</v>
      </c>
    </row>
    <row r="14" spans="1:20" x14ac:dyDescent="0.2">
      <c r="A14" s="18" t="s">
        <v>206</v>
      </c>
      <c r="B14" s="20">
        <f>STDEV(B3:B11)</f>
        <v>10.811234280444852</v>
      </c>
      <c r="C14" s="20">
        <f>STDEV(C3:C11)</f>
        <v>3.8042344827836225</v>
      </c>
      <c r="D14" s="20">
        <f>STDEV(D3:D11)</f>
        <v>8.2281751723372167</v>
      </c>
      <c r="E14" s="20">
        <f>STDEV(E3:E11)</f>
        <v>7.8089692021418546</v>
      </c>
      <c r="F14" s="20">
        <f>STDEV(F3:F11)</f>
        <v>9.1338792415927976</v>
      </c>
      <c r="I14" s="20">
        <f>STDEV(I3:I11)</f>
        <v>9.3006608188164552</v>
      </c>
      <c r="J14" s="20">
        <f>STDEV(J3:J11)</f>
        <v>7.5661372795722741</v>
      </c>
      <c r="K14" s="20">
        <f>STDEV(K3:K11)</f>
        <v>5.2134441590948279</v>
      </c>
      <c r="L14" s="20">
        <f>STDEV(L3:L11)</f>
        <v>4.6425122509262176</v>
      </c>
      <c r="M14" s="20">
        <f>STDEV(M3:M11)</f>
        <v>4.2245390281070883</v>
      </c>
      <c r="P14" s="20">
        <f>STDEV(P3:P11)</f>
        <v>6.5290066455608544</v>
      </c>
      <c r="Q14" s="20">
        <f>STDEV(Q3:Q11)</f>
        <v>5.1835476911731684</v>
      </c>
      <c r="R14" s="20">
        <f>STDEV(R3:R11)</f>
        <v>6.9863714950370817</v>
      </c>
      <c r="S14" s="20">
        <f>STDEV(S3:S11)</f>
        <v>9.5307397404398806</v>
      </c>
      <c r="T14" s="20">
        <f>STDEV(T3:T11)</f>
        <v>2.7763285108214313</v>
      </c>
    </row>
  </sheetData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842F01-F8AF-3145-BDC5-D1CFB678FE66}">
  <dimension ref="A1:I14"/>
  <sheetViews>
    <sheetView workbookViewId="0">
      <selection activeCell="J15" sqref="J15"/>
    </sheetView>
  </sheetViews>
  <sheetFormatPr baseColWidth="10" defaultColWidth="17.1640625" defaultRowHeight="16" x14ac:dyDescent="0.2"/>
  <cols>
    <col min="1" max="16384" width="17.1640625" style="9"/>
  </cols>
  <sheetData>
    <row r="1" spans="1:9" x14ac:dyDescent="0.2">
      <c r="B1" s="9" t="s">
        <v>280</v>
      </c>
    </row>
    <row r="2" spans="1:9" x14ac:dyDescent="0.2">
      <c r="B2" s="10" t="s">
        <v>36</v>
      </c>
      <c r="C2" s="10" t="s">
        <v>37</v>
      </c>
      <c r="D2" s="10" t="s">
        <v>51</v>
      </c>
      <c r="E2" s="10" t="s">
        <v>54</v>
      </c>
      <c r="F2" s="10" t="s">
        <v>50</v>
      </c>
      <c r="G2" s="10" t="s">
        <v>53</v>
      </c>
      <c r="H2" s="10" t="s">
        <v>52</v>
      </c>
      <c r="I2" s="10" t="s">
        <v>55</v>
      </c>
    </row>
    <row r="3" spans="1:9" x14ac:dyDescent="0.2">
      <c r="B3" s="8">
        <v>0.82</v>
      </c>
      <c r="C3" s="8">
        <v>1.22</v>
      </c>
      <c r="D3" s="8">
        <v>1.1299999999999999</v>
      </c>
      <c r="E3" s="8">
        <v>0.34</v>
      </c>
      <c r="F3" s="8">
        <v>0.67</v>
      </c>
      <c r="G3" s="8">
        <v>3.12</v>
      </c>
      <c r="H3" s="8">
        <v>1.07</v>
      </c>
      <c r="I3" s="8">
        <v>0.81</v>
      </c>
    </row>
    <row r="4" spans="1:9" x14ac:dyDescent="0.2">
      <c r="B4" s="8">
        <v>1.1299999999999999</v>
      </c>
      <c r="C4" s="8">
        <v>2.83</v>
      </c>
      <c r="D4" s="8"/>
      <c r="E4" s="8"/>
      <c r="F4" s="8"/>
      <c r="G4" s="8"/>
      <c r="H4" s="8"/>
      <c r="I4" s="8"/>
    </row>
    <row r="5" spans="1:9" x14ac:dyDescent="0.2">
      <c r="B5" s="8">
        <v>0.92</v>
      </c>
      <c r="C5" s="8">
        <v>2.04</v>
      </c>
      <c r="D5" s="8">
        <v>1.05</v>
      </c>
      <c r="E5" s="8">
        <v>1.08</v>
      </c>
      <c r="F5" s="8">
        <v>1.37</v>
      </c>
      <c r="G5" s="8">
        <v>0.98</v>
      </c>
      <c r="H5" s="8">
        <v>1.24</v>
      </c>
      <c r="I5" s="8">
        <v>1.46</v>
      </c>
    </row>
    <row r="6" spans="1:9" x14ac:dyDescent="0.2">
      <c r="B6" s="8">
        <v>1.33</v>
      </c>
      <c r="C6" s="8">
        <v>2.2799999999999998</v>
      </c>
      <c r="D6" s="8">
        <v>2.34</v>
      </c>
      <c r="E6" s="8">
        <v>1.58</v>
      </c>
      <c r="F6" s="8">
        <v>3.46</v>
      </c>
      <c r="G6" s="8">
        <v>3.01</v>
      </c>
      <c r="H6" s="8">
        <v>3.24</v>
      </c>
      <c r="I6" s="8">
        <v>1.38</v>
      </c>
    </row>
    <row r="7" spans="1:9" x14ac:dyDescent="0.2">
      <c r="B7" s="8">
        <v>0.3</v>
      </c>
      <c r="C7" s="8">
        <v>1.03</v>
      </c>
      <c r="D7" s="8">
        <v>0.2</v>
      </c>
      <c r="E7" s="8">
        <v>0.54</v>
      </c>
      <c r="F7" s="8">
        <v>1.23</v>
      </c>
      <c r="G7" s="8">
        <v>1.1000000000000001</v>
      </c>
      <c r="H7" s="8">
        <v>0.33</v>
      </c>
      <c r="I7" s="8">
        <v>0.19</v>
      </c>
    </row>
    <row r="8" spans="1:9" x14ac:dyDescent="0.2">
      <c r="B8" s="8">
        <v>2.99</v>
      </c>
      <c r="C8" s="8">
        <v>3.96</v>
      </c>
      <c r="D8" s="8">
        <v>3.71</v>
      </c>
      <c r="E8" s="8">
        <v>2.52</v>
      </c>
      <c r="F8" s="8">
        <v>22.57</v>
      </c>
      <c r="G8" s="8">
        <v>19.5</v>
      </c>
      <c r="H8" s="8">
        <v>4.49</v>
      </c>
      <c r="I8" s="8"/>
    </row>
    <row r="9" spans="1:9" x14ac:dyDescent="0.2">
      <c r="B9" s="8">
        <v>1.1499999999999999</v>
      </c>
      <c r="C9" s="8">
        <v>2.38</v>
      </c>
      <c r="D9" s="8">
        <v>1.9</v>
      </c>
      <c r="E9" s="8">
        <v>2.75</v>
      </c>
      <c r="F9" s="8">
        <v>2.4500000000000002</v>
      </c>
      <c r="G9" s="8">
        <v>3.93</v>
      </c>
      <c r="H9" s="8">
        <v>1.38</v>
      </c>
      <c r="I9" s="8">
        <v>2.97</v>
      </c>
    </row>
    <row r="10" spans="1:9" x14ac:dyDescent="0.2">
      <c r="B10" s="8">
        <v>2.41</v>
      </c>
      <c r="C10" s="8">
        <v>3.85</v>
      </c>
      <c r="D10" s="8">
        <v>2.0699999999999998</v>
      </c>
      <c r="E10" s="8">
        <v>2.4500000000000002</v>
      </c>
      <c r="F10" s="8">
        <v>5.31</v>
      </c>
      <c r="G10" s="8">
        <v>2.19</v>
      </c>
      <c r="H10" s="8">
        <v>3.42</v>
      </c>
      <c r="I10" s="8">
        <v>1.0900000000000001</v>
      </c>
    </row>
    <row r="11" spans="1:9" x14ac:dyDescent="0.2">
      <c r="B11" s="8">
        <v>0.56000000000000005</v>
      </c>
      <c r="C11" s="8">
        <v>1.06</v>
      </c>
      <c r="D11" s="8">
        <v>0.55000000000000004</v>
      </c>
      <c r="E11" s="8">
        <v>0.57999999999999996</v>
      </c>
      <c r="F11" s="8">
        <v>1.63</v>
      </c>
      <c r="G11" s="8">
        <v>1.31</v>
      </c>
      <c r="H11" s="8">
        <v>1.93</v>
      </c>
      <c r="I11" s="8">
        <v>1.7</v>
      </c>
    </row>
    <row r="13" spans="1:9" x14ac:dyDescent="0.2">
      <c r="A13" s="1" t="s">
        <v>205</v>
      </c>
      <c r="B13" s="3">
        <f>AVERAGE(B3:B12)</f>
        <v>1.29</v>
      </c>
      <c r="C13" s="3">
        <f t="shared" ref="C13:I13" si="0">AVERAGE(C3:C12)</f>
        <v>2.2944444444444443</v>
      </c>
      <c r="D13" s="3">
        <f t="shared" si="0"/>
        <v>1.6187500000000001</v>
      </c>
      <c r="E13" s="3">
        <f t="shared" si="0"/>
        <v>1.4800000000000002</v>
      </c>
      <c r="F13" s="3">
        <f t="shared" si="0"/>
        <v>4.8362500000000006</v>
      </c>
      <c r="G13" s="3">
        <f t="shared" si="0"/>
        <v>4.3925000000000001</v>
      </c>
      <c r="H13" s="3">
        <f t="shared" si="0"/>
        <v>2.1375000000000002</v>
      </c>
      <c r="I13" s="3">
        <f t="shared" si="0"/>
        <v>1.3714285714285714</v>
      </c>
    </row>
    <row r="14" spans="1:9" x14ac:dyDescent="0.2">
      <c r="A14" s="2" t="s">
        <v>206</v>
      </c>
      <c r="B14" s="4">
        <f>STDEV(B3:B12)</f>
        <v>0.87048836867588331</v>
      </c>
      <c r="C14" s="4">
        <f t="shared" ref="C14:I14" si="1">STDEV(C3:C12)</f>
        <v>1.1084912168248244</v>
      </c>
      <c r="D14" s="4">
        <f t="shared" si="1"/>
        <v>1.1271764660931691</v>
      </c>
      <c r="E14" s="4">
        <f t="shared" si="1"/>
        <v>0.98550929545518295</v>
      </c>
      <c r="F14" s="4">
        <f t="shared" si="1"/>
        <v>7.3188229684053114</v>
      </c>
      <c r="G14" s="4">
        <f t="shared" si="1"/>
        <v>6.1969986975263165</v>
      </c>
      <c r="H14" s="4">
        <f t="shared" si="1"/>
        <v>1.4254598255600595</v>
      </c>
      <c r="I14" s="4">
        <f t="shared" si="1"/>
        <v>0.86231140105008053</v>
      </c>
    </row>
  </sheetData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21672D-E06C-634D-8233-BE7C6B1B6CAE}">
  <dimension ref="A1:T13"/>
  <sheetViews>
    <sheetView workbookViewId="0">
      <selection sqref="A1:XFD1048576"/>
    </sheetView>
  </sheetViews>
  <sheetFormatPr baseColWidth="10" defaultColWidth="11" defaultRowHeight="16" x14ac:dyDescent="0.2"/>
  <cols>
    <col min="1" max="4" width="11" style="9"/>
    <col min="5" max="5" width="1" style="9" customWidth="1"/>
    <col min="6" max="8" width="11" style="9"/>
    <col min="9" max="9" width="0.83203125" style="9" customWidth="1"/>
    <col min="10" max="12" width="11" style="9"/>
    <col min="13" max="13" width="0.83203125" style="9" customWidth="1"/>
    <col min="14" max="16" width="11" style="9"/>
    <col min="17" max="17" width="0.83203125" style="9" customWidth="1"/>
    <col min="18" max="16384" width="11" style="9"/>
  </cols>
  <sheetData>
    <row r="1" spans="1:20" x14ac:dyDescent="0.2">
      <c r="A1" s="9" t="s">
        <v>150</v>
      </c>
    </row>
    <row r="2" spans="1:20" x14ac:dyDescent="0.2">
      <c r="B2" s="9" t="s">
        <v>151</v>
      </c>
      <c r="F2" s="9" t="s">
        <v>152</v>
      </c>
      <c r="J2" s="9" t="s">
        <v>153</v>
      </c>
      <c r="N2" s="9" t="s">
        <v>154</v>
      </c>
      <c r="R2" s="9" t="s">
        <v>155</v>
      </c>
    </row>
    <row r="3" spans="1:20" ht="34" x14ac:dyDescent="0.2">
      <c r="B3" s="53" t="s">
        <v>147</v>
      </c>
      <c r="C3" s="53" t="s">
        <v>148</v>
      </c>
      <c r="D3" s="53" t="s">
        <v>149</v>
      </c>
      <c r="F3" s="53" t="s">
        <v>147</v>
      </c>
      <c r="G3" s="53" t="s">
        <v>148</v>
      </c>
      <c r="H3" s="53" t="s">
        <v>149</v>
      </c>
      <c r="J3" s="53" t="s">
        <v>147</v>
      </c>
      <c r="K3" s="53" t="s">
        <v>148</v>
      </c>
      <c r="L3" s="53" t="s">
        <v>149</v>
      </c>
      <c r="N3" s="53" t="s">
        <v>147</v>
      </c>
      <c r="O3" s="53" t="s">
        <v>148</v>
      </c>
      <c r="P3" s="53" t="s">
        <v>149</v>
      </c>
      <c r="R3" s="53" t="s">
        <v>147</v>
      </c>
      <c r="S3" s="53" t="s">
        <v>148</v>
      </c>
      <c r="T3" s="53" t="s">
        <v>149</v>
      </c>
    </row>
    <row r="4" spans="1:20" x14ac:dyDescent="0.2">
      <c r="B4" s="22">
        <v>0.49060751755535259</v>
      </c>
      <c r="C4" s="22">
        <v>1.6332437108302689</v>
      </c>
      <c r="D4" s="22">
        <v>1.3612042877545061</v>
      </c>
      <c r="F4" s="22">
        <v>0.60683853773631025</v>
      </c>
      <c r="G4" s="22">
        <v>1.623081267326391</v>
      </c>
      <c r="H4" s="22">
        <v>0.80813325108002898</v>
      </c>
      <c r="J4" s="22">
        <v>1.2363706705162563</v>
      </c>
      <c r="K4" s="22">
        <v>1.8322219578555425</v>
      </c>
      <c r="L4" s="22">
        <v>0.71524151375121314</v>
      </c>
      <c r="N4" s="22">
        <v>0.94016449185304829</v>
      </c>
      <c r="O4" s="22">
        <v>0.95429589682918248</v>
      </c>
      <c r="P4" s="22">
        <v>1.1933517022213831</v>
      </c>
      <c r="R4" s="22">
        <v>1.1165359029669844</v>
      </c>
      <c r="S4" s="22">
        <v>0.94477508118882636</v>
      </c>
      <c r="T4" s="22">
        <v>1.2284762050709064</v>
      </c>
    </row>
    <row r="5" spans="1:20" x14ac:dyDescent="0.2">
      <c r="B5" s="22">
        <v>0.84479662402688882</v>
      </c>
      <c r="C5" s="22">
        <v>1.5620343676366146</v>
      </c>
      <c r="D5" s="22">
        <v>0.70945211109448714</v>
      </c>
      <c r="F5" s="22">
        <v>0.97628094022180234</v>
      </c>
      <c r="G5" s="22">
        <v>0.94516132843590084</v>
      </c>
      <c r="H5" s="22">
        <v>1.3598325354022704</v>
      </c>
      <c r="J5" s="22">
        <v>1.0560807079634895</v>
      </c>
      <c r="K5" s="22">
        <v>1.652607182501366</v>
      </c>
      <c r="L5" s="22">
        <v>0.62215245022420862</v>
      </c>
      <c r="N5" s="22">
        <v>1.3501403528822828</v>
      </c>
      <c r="O5" s="22">
        <v>0.99028145109766219</v>
      </c>
      <c r="P5" s="22">
        <v>1.0870200870843498</v>
      </c>
      <c r="R5" s="22">
        <v>1.4520646089017326</v>
      </c>
      <c r="S5" s="22">
        <v>0.660636935929239</v>
      </c>
      <c r="T5" s="22">
        <v>1.3672919099585796</v>
      </c>
    </row>
    <row r="6" spans="1:20" x14ac:dyDescent="0.2">
      <c r="B6" s="22">
        <v>0.83657585807277124</v>
      </c>
      <c r="C6" s="22">
        <v>1.0783709924215299</v>
      </c>
      <c r="D6" s="22">
        <v>1.085555754521077</v>
      </c>
      <c r="F6" s="22">
        <v>1.1120415087181088</v>
      </c>
      <c r="G6" s="22">
        <v>0.71078136370865319</v>
      </c>
      <c r="H6" s="22">
        <v>1.2667193120171765</v>
      </c>
      <c r="J6" s="22">
        <v>0.84249437120339765</v>
      </c>
      <c r="K6" s="22">
        <v>1.4481434131014057</v>
      </c>
      <c r="L6" s="22">
        <v>0.4658846124942001</v>
      </c>
      <c r="N6" s="22">
        <v>0.71089043007108099</v>
      </c>
      <c r="O6" s="22">
        <v>0.8129544175279052</v>
      </c>
      <c r="P6" s="22">
        <v>1.111989399502028</v>
      </c>
      <c r="R6" s="22">
        <v>0.99765980824693601</v>
      </c>
      <c r="S6" s="22">
        <v>0.60071359063056873</v>
      </c>
      <c r="T6" s="22">
        <v>0.98168500731147401</v>
      </c>
    </row>
    <row r="7" spans="1:20" x14ac:dyDescent="0.2">
      <c r="B7" s="22">
        <v>0.92852450335644998</v>
      </c>
      <c r="C7" s="22">
        <v>1.900693505964671</v>
      </c>
      <c r="D7" s="22">
        <v>0.90859017851378865</v>
      </c>
      <c r="F7" s="22">
        <v>0.80016937059695414</v>
      </c>
      <c r="G7" s="22">
        <v>1.4020599453671623</v>
      </c>
      <c r="H7" s="22">
        <v>0.96886067430126888</v>
      </c>
      <c r="J7" s="22">
        <v>0.76874118364387156</v>
      </c>
      <c r="K7" s="22">
        <v>1.2095728546616868</v>
      </c>
      <c r="L7" s="22">
        <v>0.81224942535666989</v>
      </c>
      <c r="N7" s="22">
        <v>1.4184503906194759</v>
      </c>
      <c r="O7" s="22">
        <v>0.94455818566668226</v>
      </c>
      <c r="P7" s="22">
        <v>1.1641252017410217</v>
      </c>
      <c r="R7" s="22">
        <v>0.82146368207952725</v>
      </c>
      <c r="S7" s="22">
        <v>1.04649419911376</v>
      </c>
      <c r="T7" s="22">
        <v>1.3618882220521222</v>
      </c>
    </row>
    <row r="8" spans="1:20" x14ac:dyDescent="0.2">
      <c r="B8" s="22">
        <v>0.45922297426961056</v>
      </c>
      <c r="C8" s="22">
        <v>1.3028928817626599</v>
      </c>
      <c r="D8" s="22">
        <v>1.042303470144069</v>
      </c>
      <c r="F8" s="22">
        <v>0.72245866129449554</v>
      </c>
      <c r="G8" s="22">
        <v>1.8123081737949354</v>
      </c>
      <c r="H8" s="22">
        <v>0.70265981145916134</v>
      </c>
      <c r="J8" s="22">
        <v>0.71828983440023997</v>
      </c>
      <c r="K8" s="22">
        <v>1.4957740346899595</v>
      </c>
      <c r="L8" s="22">
        <v>1.2323461063605636</v>
      </c>
      <c r="N8" s="22">
        <v>0.95792144260762924</v>
      </c>
      <c r="O8" s="22">
        <v>0.69128650366559163</v>
      </c>
      <c r="P8" s="22">
        <v>0.96820978774770039</v>
      </c>
      <c r="R8" s="22">
        <v>0.49465624047406559</v>
      </c>
      <c r="S8" s="22">
        <v>0.94712029052384727</v>
      </c>
      <c r="T8" s="22">
        <v>1.82315968978107</v>
      </c>
    </row>
    <row r="12" spans="1:20" x14ac:dyDescent="0.2">
      <c r="A12" s="17" t="s">
        <v>205</v>
      </c>
      <c r="B12" s="19">
        <f>AVERAGE(B4:B9)</f>
        <v>0.71194549545621455</v>
      </c>
      <c r="C12" s="19">
        <f t="shared" ref="C12:D12" si="0">AVERAGE(C4:C9)</f>
        <v>1.495447091723149</v>
      </c>
      <c r="D12" s="19">
        <f t="shared" si="0"/>
        <v>1.0214211604055856</v>
      </c>
      <c r="F12" s="19">
        <f>AVERAGE(F4:F9)</f>
        <v>0.84355780371353417</v>
      </c>
      <c r="G12" s="19">
        <f t="shared" ref="G12:H12" si="1">AVERAGE(G4:G9)</f>
        <v>1.2986784157266087</v>
      </c>
      <c r="H12" s="19">
        <f t="shared" si="1"/>
        <v>1.0212411168519815</v>
      </c>
      <c r="J12" s="19">
        <f>AVERAGE(J4:J9)</f>
        <v>0.92439535354545099</v>
      </c>
      <c r="K12" s="19">
        <f t="shared" ref="K12:L12" si="2">AVERAGE(K4:K9)</f>
        <v>1.527663888561992</v>
      </c>
      <c r="L12" s="19">
        <f t="shared" si="2"/>
        <v>0.76957482163737112</v>
      </c>
      <c r="N12" s="19">
        <f>AVERAGE(N4:N9)</f>
        <v>1.0755134216067035</v>
      </c>
      <c r="O12" s="19">
        <f t="shared" ref="O12:P12" si="3">AVERAGE(O4:O9)</f>
        <v>0.87867529095740482</v>
      </c>
      <c r="P12" s="19">
        <f t="shared" si="3"/>
        <v>1.1049392356592966</v>
      </c>
      <c r="R12" s="19">
        <f>AVERAGE(R4:R9)</f>
        <v>0.97647604853384917</v>
      </c>
      <c r="S12" s="19">
        <f t="shared" ref="S12:T12" si="4">AVERAGE(S4:S9)</f>
        <v>0.83994801947724829</v>
      </c>
      <c r="T12" s="19">
        <f t="shared" si="4"/>
        <v>1.3525002068348304</v>
      </c>
    </row>
    <row r="13" spans="1:20" x14ac:dyDescent="0.2">
      <c r="A13" s="18" t="s">
        <v>206</v>
      </c>
      <c r="B13" s="20">
        <f>STDEV(B4:B9)</f>
        <v>0.21962911321569087</v>
      </c>
      <c r="C13" s="20">
        <f t="shared" ref="C13:D13" si="5">STDEV(C4:C9)</f>
        <v>0.3157039856371382</v>
      </c>
      <c r="D13" s="20">
        <f t="shared" si="5"/>
        <v>0.23982150073342234</v>
      </c>
      <c r="F13" s="20">
        <f>STDEV(F4:F9)</f>
        <v>0.2014215108456085</v>
      </c>
      <c r="G13" s="20">
        <f t="shared" ref="G13:H13" si="6">STDEV(G4:G9)</f>
        <v>0.46106880016656049</v>
      </c>
      <c r="H13" s="20">
        <f t="shared" si="6"/>
        <v>0.28484926469052674</v>
      </c>
      <c r="J13" s="20">
        <f>STDEV(J4:J9)</f>
        <v>0.21684389979066659</v>
      </c>
      <c r="K13" s="20">
        <f t="shared" ref="K13:L13" si="7">STDEV(K4:K9)</f>
        <v>0.23285661839287355</v>
      </c>
      <c r="L13" s="20">
        <f t="shared" si="7"/>
        <v>0.28848379106776029</v>
      </c>
      <c r="N13" s="20">
        <f>STDEV(N4:N9)</f>
        <v>0.29921683122957543</v>
      </c>
      <c r="O13" s="20">
        <f t="shared" ref="O13:P13" si="8">STDEV(O4:O9)</f>
        <v>0.12444753677350756</v>
      </c>
      <c r="P13" s="20">
        <f t="shared" si="8"/>
        <v>8.7157164717952845E-2</v>
      </c>
      <c r="R13" s="20">
        <f>STDEV(R4:R9)</f>
        <v>0.35441118578733638</v>
      </c>
      <c r="S13" s="20">
        <f t="shared" ref="S13:T13" si="9">STDEV(S4:S9)</f>
        <v>0.19654612022345105</v>
      </c>
      <c r="T13" s="20">
        <f t="shared" si="9"/>
        <v>0.30606908673097277</v>
      </c>
    </row>
  </sheetData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239FA5-7ADA-A24E-9E5F-054BC334EA19}">
  <dimension ref="A1:J12"/>
  <sheetViews>
    <sheetView workbookViewId="0">
      <selection activeCell="B6" sqref="B6"/>
    </sheetView>
  </sheetViews>
  <sheetFormatPr baseColWidth="10" defaultColWidth="22.33203125" defaultRowHeight="16" x14ac:dyDescent="0.2"/>
  <cols>
    <col min="1" max="16384" width="22.33203125" style="9"/>
  </cols>
  <sheetData>
    <row r="1" spans="1:10" x14ac:dyDescent="0.2">
      <c r="A1" s="9" t="s">
        <v>283</v>
      </c>
    </row>
    <row r="2" spans="1:10" x14ac:dyDescent="0.2">
      <c r="B2" s="10" t="s">
        <v>282</v>
      </c>
      <c r="C2" s="10" t="s">
        <v>281</v>
      </c>
      <c r="D2" s="10" t="s">
        <v>278</v>
      </c>
      <c r="E2" s="10" t="s">
        <v>279</v>
      </c>
      <c r="F2" s="10" t="s">
        <v>274</v>
      </c>
      <c r="G2" s="10" t="s">
        <v>275</v>
      </c>
      <c r="H2" s="10" t="s">
        <v>276</v>
      </c>
      <c r="I2" s="10" t="s">
        <v>277</v>
      </c>
    </row>
    <row r="3" spans="1:10" x14ac:dyDescent="0.2">
      <c r="B3" s="8">
        <v>0.23</v>
      </c>
      <c r="C3" s="8">
        <v>0.67</v>
      </c>
      <c r="D3" s="8">
        <v>0.4</v>
      </c>
      <c r="E3" s="8">
        <v>0.19</v>
      </c>
      <c r="F3" s="8">
        <v>0.7</v>
      </c>
      <c r="G3" s="8">
        <v>0.66</v>
      </c>
      <c r="H3" s="8">
        <v>0.62</v>
      </c>
      <c r="I3" s="8">
        <v>0.36</v>
      </c>
    </row>
    <row r="4" spans="1:10" x14ac:dyDescent="0.2">
      <c r="B4" s="8">
        <v>0.17</v>
      </c>
      <c r="C4" s="8">
        <v>0.38</v>
      </c>
      <c r="D4" s="8">
        <v>0.25</v>
      </c>
      <c r="E4" s="8">
        <v>0.22</v>
      </c>
      <c r="F4" s="8">
        <v>0.43</v>
      </c>
      <c r="G4" s="8">
        <v>0.49</v>
      </c>
      <c r="H4" s="8">
        <v>0.46</v>
      </c>
      <c r="I4" s="8">
        <v>0.46</v>
      </c>
    </row>
    <row r="5" spans="1:10" x14ac:dyDescent="0.2">
      <c r="B5" s="8">
        <v>0.34</v>
      </c>
      <c r="C5" s="8">
        <v>1.06</v>
      </c>
      <c r="D5" s="8">
        <v>0.81</v>
      </c>
      <c r="E5" s="8">
        <v>0.32</v>
      </c>
      <c r="F5" s="8">
        <v>0.36</v>
      </c>
      <c r="G5" s="8">
        <v>0.93</v>
      </c>
      <c r="H5" s="8">
        <v>0.23</v>
      </c>
      <c r="I5" s="8">
        <v>0.28999999999999998</v>
      </c>
    </row>
    <row r="6" spans="1:10" x14ac:dyDescent="0.2">
      <c r="B6" s="8">
        <v>0.38</v>
      </c>
      <c r="C6" s="8">
        <v>1.17</v>
      </c>
      <c r="D6" s="8">
        <v>0.6</v>
      </c>
      <c r="E6" s="8">
        <v>0.9</v>
      </c>
      <c r="F6" s="8">
        <v>0.39</v>
      </c>
      <c r="G6" s="8">
        <v>0.88</v>
      </c>
      <c r="H6" s="8">
        <v>0.38</v>
      </c>
      <c r="I6" s="8">
        <v>0.96</v>
      </c>
    </row>
    <row r="7" spans="1:10" x14ac:dyDescent="0.2">
      <c r="B7" s="8">
        <v>0.03</v>
      </c>
      <c r="C7" s="8">
        <v>0.38</v>
      </c>
      <c r="D7" s="8">
        <v>0.38</v>
      </c>
      <c r="E7" s="8">
        <v>0.16</v>
      </c>
      <c r="F7" s="8">
        <v>0.23</v>
      </c>
      <c r="G7" s="8">
        <v>0.24</v>
      </c>
      <c r="H7" s="8">
        <v>0.14000000000000001</v>
      </c>
      <c r="I7" s="8">
        <v>0.37</v>
      </c>
    </row>
    <row r="8" spans="1:10" x14ac:dyDescent="0.2">
      <c r="B8" s="8">
        <v>0.05</v>
      </c>
      <c r="C8" s="8">
        <v>0.42</v>
      </c>
      <c r="D8" s="8">
        <v>0.55000000000000004</v>
      </c>
      <c r="E8" s="8">
        <v>0.1</v>
      </c>
      <c r="F8" s="8">
        <v>7.0000000000000007E-2</v>
      </c>
      <c r="G8" s="8">
        <v>0.16</v>
      </c>
      <c r="H8" s="8">
        <v>0.26</v>
      </c>
      <c r="I8" s="8">
        <v>0.2</v>
      </c>
    </row>
    <row r="9" spans="1:10" x14ac:dyDescent="0.2">
      <c r="B9" s="8">
        <v>0.3</v>
      </c>
      <c r="C9" s="8">
        <v>0.91</v>
      </c>
      <c r="D9" s="8">
        <v>0.45</v>
      </c>
      <c r="E9" s="8">
        <v>0.48</v>
      </c>
      <c r="F9" s="8">
        <v>0.53</v>
      </c>
      <c r="G9" s="8">
        <v>1.17</v>
      </c>
      <c r="H9" s="8">
        <v>1.42</v>
      </c>
      <c r="I9" s="8">
        <v>0.93</v>
      </c>
    </row>
    <row r="11" spans="1:10" x14ac:dyDescent="0.2">
      <c r="A11" s="1" t="s">
        <v>205</v>
      </c>
      <c r="B11" s="3">
        <f>AVERAGE(B3:B10)</f>
        <v>0.21428571428571433</v>
      </c>
      <c r="C11" s="3">
        <f t="shared" ref="C11:I11" si="0">AVERAGE(C3:C10)</f>
        <v>0.71285714285714286</v>
      </c>
      <c r="D11" s="3">
        <f>AVERAGE(D3:D10)</f>
        <v>0.49142857142857149</v>
      </c>
      <c r="E11" s="3">
        <f>AVERAGE(E3:E10)</f>
        <v>0.33857142857142858</v>
      </c>
      <c r="F11" s="3">
        <f t="shared" si="0"/>
        <v>0.38714285714285712</v>
      </c>
      <c r="G11" s="3">
        <f t="shared" si="0"/>
        <v>0.64714285714285713</v>
      </c>
      <c r="H11" s="3">
        <f t="shared" si="0"/>
        <v>0.50142857142857145</v>
      </c>
      <c r="I11" s="3">
        <f t="shared" si="0"/>
        <v>0.51000000000000012</v>
      </c>
      <c r="J11" s="3"/>
    </row>
    <row r="12" spans="1:10" x14ac:dyDescent="0.2">
      <c r="A12" s="2" t="s">
        <v>206</v>
      </c>
      <c r="B12" s="4">
        <f>STDEV(B3:B10)</f>
        <v>0.13770223223283182</v>
      </c>
      <c r="C12" s="4">
        <f t="shared" ref="C12:I12" si="1">STDEV(C3:C10)</f>
        <v>0.33604138067179984</v>
      </c>
      <c r="D12" s="4">
        <f>STDEV(D3:D10)</f>
        <v>0.18142294704442904</v>
      </c>
      <c r="E12" s="4">
        <f>STDEV(E3:E10)</f>
        <v>0.27703360635059976</v>
      </c>
      <c r="F12" s="4">
        <f t="shared" si="1"/>
        <v>0.20254335220838413</v>
      </c>
      <c r="G12" s="4">
        <f t="shared" si="1"/>
        <v>0.37317173373279849</v>
      </c>
      <c r="H12" s="4">
        <f t="shared" si="1"/>
        <v>0.43529409872056896</v>
      </c>
      <c r="I12" s="4">
        <f t="shared" si="1"/>
        <v>0.30767948691238189</v>
      </c>
      <c r="J12" s="4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236D6C-5A68-234B-AE4B-8D93AC848AE0}">
  <dimension ref="A1:T14"/>
  <sheetViews>
    <sheetView workbookViewId="0">
      <selection sqref="A1:XFD1048576"/>
    </sheetView>
  </sheetViews>
  <sheetFormatPr baseColWidth="10" defaultColWidth="11" defaultRowHeight="16" x14ac:dyDescent="0.2"/>
  <cols>
    <col min="1" max="7" width="11" style="9"/>
    <col min="8" max="8" width="1" style="9" customWidth="1"/>
    <col min="9" max="14" width="11" style="9"/>
    <col min="15" max="15" width="0.83203125" style="9" customWidth="1"/>
    <col min="16" max="16384" width="11" style="9"/>
  </cols>
  <sheetData>
    <row r="1" spans="1:20" x14ac:dyDescent="0.2">
      <c r="B1" s="9" t="s">
        <v>11</v>
      </c>
    </row>
    <row r="2" spans="1:20" x14ac:dyDescent="0.2">
      <c r="B2" s="5" t="s">
        <v>0</v>
      </c>
      <c r="I2" s="5" t="s">
        <v>6</v>
      </c>
      <c r="J2" s="5"/>
      <c r="K2" s="5"/>
      <c r="L2" s="5"/>
      <c r="M2" s="5"/>
      <c r="N2" s="5"/>
      <c r="P2" s="5" t="s">
        <v>7</v>
      </c>
      <c r="Q2" s="5"/>
      <c r="R2" s="5"/>
      <c r="S2" s="5"/>
      <c r="T2" s="5"/>
    </row>
    <row r="3" spans="1:20" x14ac:dyDescent="0.2"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/>
      <c r="I3" s="5" t="s">
        <v>1</v>
      </c>
      <c r="J3" s="5" t="s">
        <v>2</v>
      </c>
      <c r="K3" s="5" t="s">
        <v>3</v>
      </c>
      <c r="L3" s="5" t="s">
        <v>4</v>
      </c>
      <c r="M3" s="5" t="s">
        <v>5</v>
      </c>
      <c r="N3" s="5"/>
      <c r="P3" s="5" t="s">
        <v>1</v>
      </c>
      <c r="Q3" s="5" t="s">
        <v>2</v>
      </c>
      <c r="R3" s="5" t="s">
        <v>3</v>
      </c>
      <c r="S3" s="5" t="s">
        <v>4</v>
      </c>
      <c r="T3" s="5" t="s">
        <v>5</v>
      </c>
    </row>
    <row r="4" spans="1:20" x14ac:dyDescent="0.2">
      <c r="B4" s="15">
        <v>7.71</v>
      </c>
      <c r="C4" s="15">
        <v>1.63</v>
      </c>
      <c r="D4" s="15">
        <v>3.88</v>
      </c>
      <c r="E4" s="15">
        <v>3.86</v>
      </c>
      <c r="F4" s="15">
        <v>4.88</v>
      </c>
      <c r="G4" s="8"/>
      <c r="I4" s="15">
        <v>1.55</v>
      </c>
      <c r="J4" s="15">
        <v>0.98</v>
      </c>
      <c r="K4" s="15">
        <v>1.53</v>
      </c>
      <c r="L4" s="15">
        <v>1.82</v>
      </c>
      <c r="M4" s="15">
        <v>0.74</v>
      </c>
      <c r="P4" s="15">
        <v>1.57</v>
      </c>
      <c r="Q4" s="15">
        <v>1.31</v>
      </c>
      <c r="R4" s="15">
        <v>1.64</v>
      </c>
      <c r="S4" s="15">
        <v>1.53</v>
      </c>
      <c r="T4" s="15">
        <v>0</v>
      </c>
    </row>
    <row r="5" spans="1:20" x14ac:dyDescent="0.2">
      <c r="B5" s="15">
        <v>3.57</v>
      </c>
      <c r="C5" s="15">
        <v>3.79</v>
      </c>
      <c r="D5" s="15">
        <v>1.81</v>
      </c>
      <c r="E5" s="15">
        <v>2.65</v>
      </c>
      <c r="F5" s="15">
        <v>2.4500000000000002</v>
      </c>
      <c r="G5" s="8"/>
      <c r="I5" s="15">
        <v>1.7</v>
      </c>
      <c r="J5" s="15">
        <v>1.28</v>
      </c>
      <c r="K5" s="15">
        <v>0.94</v>
      </c>
      <c r="L5" s="15">
        <v>1.53</v>
      </c>
      <c r="M5" s="15">
        <v>0.68</v>
      </c>
      <c r="P5" s="15">
        <v>0.61</v>
      </c>
      <c r="Q5" s="15">
        <v>1.47</v>
      </c>
      <c r="R5" s="15">
        <v>1.95</v>
      </c>
      <c r="S5" s="15">
        <v>0.79</v>
      </c>
      <c r="T5" s="15">
        <v>0</v>
      </c>
    </row>
    <row r="6" spans="1:20" x14ac:dyDescent="0.2">
      <c r="B6" s="15">
        <v>3.02</v>
      </c>
      <c r="C6" s="15">
        <v>2.27</v>
      </c>
      <c r="D6" s="15">
        <v>5.58</v>
      </c>
      <c r="E6" s="15">
        <v>3.95</v>
      </c>
      <c r="F6" s="15">
        <v>2.17</v>
      </c>
      <c r="G6" s="8"/>
      <c r="I6" s="15">
        <v>1.32</v>
      </c>
      <c r="J6" s="15">
        <v>1.17</v>
      </c>
      <c r="K6" s="15">
        <v>1.4</v>
      </c>
      <c r="L6" s="15">
        <v>1.24</v>
      </c>
      <c r="M6" s="15">
        <v>2.42</v>
      </c>
      <c r="P6" s="15">
        <v>1.39</v>
      </c>
      <c r="Q6" s="15">
        <v>1.93</v>
      </c>
      <c r="R6" s="15">
        <v>2.08</v>
      </c>
      <c r="S6" s="15">
        <v>1.64</v>
      </c>
      <c r="T6" s="15">
        <v>0.84</v>
      </c>
    </row>
    <row r="7" spans="1:20" x14ac:dyDescent="0.2">
      <c r="B7" s="15">
        <v>3.49</v>
      </c>
      <c r="C7" s="15">
        <v>2.0499999999999998</v>
      </c>
      <c r="D7" s="15">
        <v>5.67</v>
      </c>
      <c r="E7" s="15">
        <v>0.73</v>
      </c>
      <c r="F7" s="15">
        <v>2.17</v>
      </c>
      <c r="G7" s="8"/>
      <c r="I7" s="15">
        <v>0.79</v>
      </c>
      <c r="J7" s="15">
        <v>1.1399999999999999</v>
      </c>
      <c r="K7" s="15">
        <v>1.42</v>
      </c>
      <c r="L7" s="15">
        <v>0.49</v>
      </c>
      <c r="M7" s="15">
        <v>1.34</v>
      </c>
      <c r="P7" s="15">
        <v>1.52</v>
      </c>
      <c r="Q7" s="15">
        <v>1.8</v>
      </c>
      <c r="R7" s="15">
        <v>2.17</v>
      </c>
      <c r="S7" s="15">
        <v>1.5</v>
      </c>
      <c r="T7" s="15">
        <v>0</v>
      </c>
    </row>
    <row r="8" spans="1:20" x14ac:dyDescent="0.2">
      <c r="B8" s="15">
        <v>2.44</v>
      </c>
      <c r="C8" s="15">
        <v>1.89</v>
      </c>
      <c r="D8" s="22"/>
      <c r="E8" s="15"/>
      <c r="F8" s="15">
        <v>1.79</v>
      </c>
      <c r="G8" s="8"/>
      <c r="I8" s="15">
        <v>0.67</v>
      </c>
      <c r="J8" s="15">
        <v>1.46</v>
      </c>
      <c r="K8" s="15">
        <v>1.25</v>
      </c>
      <c r="L8" s="15">
        <v>1.1399999999999999</v>
      </c>
      <c r="M8" s="15">
        <v>1.18</v>
      </c>
      <c r="P8" s="15">
        <v>2</v>
      </c>
      <c r="Q8" s="22"/>
      <c r="R8" s="15">
        <v>1.37</v>
      </c>
      <c r="S8" s="15">
        <v>1.5</v>
      </c>
      <c r="T8" s="15">
        <v>0</v>
      </c>
    </row>
    <row r="9" spans="1:20" x14ac:dyDescent="0.2">
      <c r="B9" s="15">
        <v>1.86</v>
      </c>
      <c r="C9" s="22"/>
      <c r="D9" s="22"/>
      <c r="E9" s="22"/>
      <c r="F9" s="22"/>
      <c r="I9" s="22"/>
      <c r="J9" s="15">
        <v>1.79</v>
      </c>
      <c r="K9" s="15">
        <v>0.4</v>
      </c>
      <c r="L9" s="22"/>
      <c r="M9" s="22"/>
      <c r="P9" s="15">
        <v>1.81</v>
      </c>
      <c r="Q9" s="22"/>
      <c r="R9" s="15">
        <v>1.33</v>
      </c>
      <c r="S9" s="15"/>
      <c r="T9" s="15">
        <v>0.88</v>
      </c>
    </row>
    <row r="10" spans="1:20" x14ac:dyDescent="0.2">
      <c r="P10" s="15">
        <v>1.4</v>
      </c>
      <c r="Q10" s="22"/>
      <c r="R10" s="22"/>
      <c r="S10" s="15"/>
      <c r="T10" s="15">
        <v>0.4</v>
      </c>
    </row>
    <row r="11" spans="1:20" x14ac:dyDescent="0.2">
      <c r="P11" s="15">
        <v>0.92</v>
      </c>
      <c r="Q11" s="22"/>
      <c r="R11" s="22"/>
      <c r="S11" s="22"/>
      <c r="T11" s="22"/>
    </row>
    <row r="13" spans="1:20" x14ac:dyDescent="0.2">
      <c r="A13" s="17" t="s">
        <v>205</v>
      </c>
      <c r="B13" s="19">
        <f>AVERAGE(B4:B11)</f>
        <v>3.6816666666666666</v>
      </c>
      <c r="C13" s="19">
        <f t="shared" ref="C13:F13" si="0">AVERAGE(C4:C11)</f>
        <v>2.3259999999999996</v>
      </c>
      <c r="D13" s="19">
        <f t="shared" si="0"/>
        <v>4.2349999999999994</v>
      </c>
      <c r="E13" s="19">
        <f t="shared" si="0"/>
        <v>2.7975000000000003</v>
      </c>
      <c r="F13" s="19">
        <f t="shared" si="0"/>
        <v>2.6920000000000002</v>
      </c>
      <c r="I13" s="19">
        <f>AVERAGE(I4:I11)</f>
        <v>1.206</v>
      </c>
      <c r="J13" s="19">
        <f t="shared" ref="J13:M13" si="1">AVERAGE(J4:J11)</f>
        <v>1.3033333333333332</v>
      </c>
      <c r="K13" s="19">
        <f t="shared" si="1"/>
        <v>1.1566666666666665</v>
      </c>
      <c r="L13" s="19">
        <f t="shared" si="1"/>
        <v>1.244</v>
      </c>
      <c r="M13" s="19">
        <f t="shared" si="1"/>
        <v>1.2719999999999998</v>
      </c>
      <c r="P13" s="19">
        <f>AVERAGE(P4:P11)</f>
        <v>1.4025000000000001</v>
      </c>
      <c r="Q13" s="19">
        <f t="shared" ref="Q13:T13" si="2">AVERAGE(Q4:Q11)</f>
        <v>1.6274999999999999</v>
      </c>
      <c r="R13" s="19">
        <f t="shared" si="2"/>
        <v>1.7566666666666668</v>
      </c>
      <c r="S13" s="19">
        <f t="shared" si="2"/>
        <v>1.3919999999999999</v>
      </c>
      <c r="T13" s="19">
        <f t="shared" si="2"/>
        <v>0.30285714285714288</v>
      </c>
    </row>
    <row r="14" spans="1:20" x14ac:dyDescent="0.2">
      <c r="A14" s="18" t="s">
        <v>206</v>
      </c>
      <c r="B14" s="20">
        <f>STDEV(B4:B11)</f>
        <v>2.0772425632714784</v>
      </c>
      <c r="C14" s="20">
        <f t="shared" ref="C14:F14" si="3">STDEV(C4:C11)</f>
        <v>0.85104641471543796</v>
      </c>
      <c r="D14" s="20">
        <f t="shared" si="3"/>
        <v>1.8142859017622723</v>
      </c>
      <c r="E14" s="20">
        <f t="shared" si="3"/>
        <v>1.5003860614299676</v>
      </c>
      <c r="F14" s="20">
        <f t="shared" si="3"/>
        <v>1.2454396813976978</v>
      </c>
      <c r="I14" s="20">
        <f>STDEV(I4:I11)</f>
        <v>0.45708861285313163</v>
      </c>
      <c r="J14" s="20">
        <f t="shared" ref="J14:M14" si="4">STDEV(J4:J11)</f>
        <v>0.28668217012340835</v>
      </c>
      <c r="K14" s="20">
        <f t="shared" si="4"/>
        <v>0.42335170563807467</v>
      </c>
      <c r="L14" s="20">
        <f t="shared" si="4"/>
        <v>0.4982268559602141</v>
      </c>
      <c r="M14" s="20">
        <f t="shared" si="4"/>
        <v>0.70079954337884698</v>
      </c>
      <c r="P14" s="20">
        <f>STDEV(P4:P11)</f>
        <v>0.45133927688285935</v>
      </c>
      <c r="Q14" s="20">
        <f t="shared" ref="Q14:T14" si="5">STDEV(Q4:Q11)</f>
        <v>0.28686524130097468</v>
      </c>
      <c r="R14" s="20">
        <f t="shared" si="5"/>
        <v>0.36274876521728611</v>
      </c>
      <c r="S14" s="20">
        <f t="shared" si="5"/>
        <v>0.34142349069740263</v>
      </c>
      <c r="T14" s="20">
        <f t="shared" si="5"/>
        <v>0.40782816175910352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5A6E66-8055-FB44-B857-389A7B419B57}">
  <dimension ref="A1:T14"/>
  <sheetViews>
    <sheetView workbookViewId="0">
      <selection sqref="A1:XFD1048576"/>
    </sheetView>
  </sheetViews>
  <sheetFormatPr baseColWidth="10" defaultColWidth="11" defaultRowHeight="16" x14ac:dyDescent="0.2"/>
  <cols>
    <col min="1" max="1" width="6.5" style="9" customWidth="1"/>
    <col min="2" max="7" width="11" style="9"/>
    <col min="8" max="8" width="1.1640625" style="9" customWidth="1"/>
    <col min="9" max="14" width="11" style="9"/>
    <col min="15" max="15" width="0.83203125" style="9" customWidth="1"/>
    <col min="16" max="16384" width="11" style="9"/>
  </cols>
  <sheetData>
    <row r="1" spans="1:20" x14ac:dyDescent="0.2">
      <c r="B1" s="5" t="s">
        <v>0</v>
      </c>
      <c r="I1" s="5" t="s">
        <v>6</v>
      </c>
      <c r="J1" s="5"/>
      <c r="K1" s="5"/>
      <c r="L1" s="5"/>
      <c r="M1" s="5"/>
      <c r="N1" s="5"/>
      <c r="P1" s="5" t="s">
        <v>7</v>
      </c>
      <c r="Q1" s="5"/>
      <c r="R1" s="5"/>
      <c r="S1" s="5"/>
      <c r="T1" s="5"/>
    </row>
    <row r="2" spans="1:20" x14ac:dyDescent="0.2"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/>
      <c r="I2" s="5" t="s">
        <v>1</v>
      </c>
      <c r="J2" s="5" t="s">
        <v>2</v>
      </c>
      <c r="K2" s="5" t="s">
        <v>3</v>
      </c>
      <c r="L2" s="5" t="s">
        <v>4</v>
      </c>
      <c r="M2" s="5" t="s">
        <v>5</v>
      </c>
      <c r="N2" s="5"/>
      <c r="P2" s="5" t="s">
        <v>1</v>
      </c>
      <c r="Q2" s="5" t="s">
        <v>2</v>
      </c>
      <c r="R2" s="5" t="s">
        <v>3</v>
      </c>
      <c r="S2" s="5" t="s">
        <v>4</v>
      </c>
      <c r="T2" s="5" t="s">
        <v>5</v>
      </c>
    </row>
    <row r="3" spans="1:20" x14ac:dyDescent="0.2">
      <c r="B3" s="15">
        <v>0.17</v>
      </c>
      <c r="C3" s="8">
        <v>0.06</v>
      </c>
      <c r="D3" s="8">
        <v>0.11</v>
      </c>
      <c r="E3" s="15">
        <v>0</v>
      </c>
      <c r="F3" s="8">
        <v>1.27</v>
      </c>
      <c r="G3" s="8"/>
      <c r="I3" s="8">
        <v>0.18</v>
      </c>
      <c r="J3" s="15">
        <v>0.11</v>
      </c>
      <c r="K3" s="8">
        <v>0.12</v>
      </c>
      <c r="L3" s="15">
        <v>0</v>
      </c>
      <c r="M3" s="8">
        <v>2.65</v>
      </c>
      <c r="N3" s="8"/>
    </row>
    <row r="4" spans="1:20" x14ac:dyDescent="0.2">
      <c r="B4" s="15">
        <v>0.06</v>
      </c>
      <c r="C4" s="8">
        <v>0.05</v>
      </c>
      <c r="D4" s="8">
        <v>0.22</v>
      </c>
      <c r="E4" s="8">
        <v>7.0000000000000007E-2</v>
      </c>
      <c r="F4" s="8">
        <v>0.96</v>
      </c>
      <c r="G4" s="8"/>
      <c r="I4" s="8">
        <v>0.16</v>
      </c>
      <c r="J4" s="15">
        <v>0</v>
      </c>
      <c r="K4" s="8">
        <v>0.17</v>
      </c>
      <c r="L4" s="15">
        <v>0</v>
      </c>
      <c r="M4" s="8">
        <v>2.54</v>
      </c>
      <c r="N4" s="8"/>
    </row>
    <row r="5" spans="1:20" x14ac:dyDescent="0.2">
      <c r="B5" s="15">
        <v>0.28000000000000003</v>
      </c>
      <c r="D5" s="8">
        <v>0.06</v>
      </c>
      <c r="E5" s="8">
        <v>0.11</v>
      </c>
      <c r="F5" s="8">
        <v>1.46</v>
      </c>
      <c r="G5" s="8"/>
      <c r="I5" s="8">
        <v>0.13</v>
      </c>
      <c r="J5" s="15">
        <v>0.22</v>
      </c>
      <c r="K5" s="8">
        <v>0.16</v>
      </c>
      <c r="L5" s="15">
        <v>0</v>
      </c>
      <c r="M5" s="8">
        <v>3.45</v>
      </c>
      <c r="N5" s="8"/>
    </row>
    <row r="6" spans="1:20" x14ac:dyDescent="0.2">
      <c r="B6" s="15">
        <v>0.22</v>
      </c>
      <c r="D6" s="8">
        <v>0.25</v>
      </c>
      <c r="E6" s="8">
        <v>0.15</v>
      </c>
      <c r="F6" s="8">
        <v>2.91</v>
      </c>
      <c r="G6" s="8"/>
      <c r="I6" s="8">
        <v>0.09</v>
      </c>
      <c r="J6" s="15">
        <v>0.09</v>
      </c>
      <c r="K6" s="8">
        <v>0.13</v>
      </c>
      <c r="L6" s="15">
        <v>0.05</v>
      </c>
      <c r="M6" s="8">
        <v>1.69</v>
      </c>
      <c r="N6" s="8"/>
    </row>
    <row r="7" spans="1:20" x14ac:dyDescent="0.2">
      <c r="B7" s="15">
        <v>0.3</v>
      </c>
      <c r="E7" s="8"/>
      <c r="F7" s="8">
        <v>0.89</v>
      </c>
      <c r="G7" s="8"/>
      <c r="L7" s="8"/>
      <c r="M7" s="8">
        <v>1.53</v>
      </c>
      <c r="N7" s="8"/>
    </row>
    <row r="13" spans="1:20" x14ac:dyDescent="0.2">
      <c r="A13" s="17" t="s">
        <v>205</v>
      </c>
      <c r="B13" s="19">
        <f>AVERAGE(B3:B11)</f>
        <v>0.20600000000000002</v>
      </c>
      <c r="C13" s="19">
        <f t="shared" ref="C13:F13" si="0">AVERAGE(C3:C11)</f>
        <v>5.5E-2</v>
      </c>
      <c r="D13" s="19">
        <f t="shared" si="0"/>
        <v>0.16</v>
      </c>
      <c r="E13" s="19">
        <f t="shared" si="0"/>
        <v>8.249999999999999E-2</v>
      </c>
      <c r="F13" s="19">
        <f t="shared" si="0"/>
        <v>1.4979999999999998</v>
      </c>
      <c r="I13" s="19">
        <f>AVERAGE(I3:I11)</f>
        <v>0.13999999999999999</v>
      </c>
      <c r="J13" s="19">
        <f t="shared" ref="J13:M13" si="1">AVERAGE(J3:J11)</f>
        <v>0.10500000000000001</v>
      </c>
      <c r="K13" s="19">
        <f t="shared" si="1"/>
        <v>0.14500000000000002</v>
      </c>
      <c r="L13" s="19">
        <f t="shared" si="1"/>
        <v>1.2500000000000001E-2</v>
      </c>
      <c r="M13" s="19">
        <f t="shared" si="1"/>
        <v>2.3719999999999999</v>
      </c>
    </row>
    <row r="14" spans="1:20" x14ac:dyDescent="0.2">
      <c r="A14" s="18" t="s">
        <v>206</v>
      </c>
      <c r="B14" s="20">
        <f>STDEV(B3:B11)</f>
        <v>9.6332756630338412E-2</v>
      </c>
      <c r="C14" s="20">
        <f t="shared" ref="C14:F14" si="2">STDEV(C3:C11)</f>
        <v>7.0710678118654719E-3</v>
      </c>
      <c r="D14" s="20">
        <f t="shared" si="2"/>
        <v>8.9814623902049834E-2</v>
      </c>
      <c r="E14" s="20">
        <f t="shared" si="2"/>
        <v>6.396613687465165E-2</v>
      </c>
      <c r="F14" s="20">
        <f t="shared" si="2"/>
        <v>0.82253875288645262</v>
      </c>
      <c r="I14" s="20">
        <f>STDEV(I3:I11)</f>
        <v>3.9157800414902466E-2</v>
      </c>
      <c r="J14" s="20">
        <f t="shared" ref="J14:M14" si="3">STDEV(J3:J11)</f>
        <v>9.0369611411506373E-2</v>
      </c>
      <c r="K14" s="20">
        <f t="shared" si="3"/>
        <v>2.3804761428476023E-2</v>
      </c>
      <c r="L14" s="20">
        <f t="shared" si="3"/>
        <v>2.5000000000000001E-2</v>
      </c>
      <c r="M14" s="20">
        <f t="shared" si="3"/>
        <v>0.78129379877226801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2B3289-02C7-6548-BE5E-E44C5FDF71CB}">
  <dimension ref="A1:L26"/>
  <sheetViews>
    <sheetView workbookViewId="0">
      <selection sqref="A1:XFD1048576"/>
    </sheetView>
  </sheetViews>
  <sheetFormatPr baseColWidth="10" defaultColWidth="11" defaultRowHeight="16" x14ac:dyDescent="0.2"/>
  <cols>
    <col min="1" max="1" width="12" style="9" customWidth="1"/>
    <col min="2" max="2" width="17.83203125" style="9" customWidth="1"/>
    <col min="3" max="3" width="8.83203125" style="9" customWidth="1"/>
    <col min="4" max="4" width="11" style="9"/>
    <col min="5" max="5" width="1.5" style="9" customWidth="1"/>
    <col min="6" max="7" width="11" style="9"/>
    <col min="8" max="8" width="1.33203125" style="9" customWidth="1"/>
    <col min="9" max="9" width="11" style="9" customWidth="1"/>
    <col min="10" max="10" width="14.1640625" style="9" customWidth="1"/>
    <col min="11" max="16384" width="11" style="9"/>
  </cols>
  <sheetData>
    <row r="1" spans="1:12" x14ac:dyDescent="0.2">
      <c r="A1" s="5" t="s">
        <v>12</v>
      </c>
      <c r="C1" s="9" t="s">
        <v>13</v>
      </c>
      <c r="F1" s="9" t="s">
        <v>14</v>
      </c>
      <c r="K1" s="9" t="s">
        <v>15</v>
      </c>
    </row>
    <row r="2" spans="1:12" ht="34" customHeight="1" x14ac:dyDescent="0.2">
      <c r="B2" s="9" t="s">
        <v>16</v>
      </c>
      <c r="C2" s="27" t="s">
        <v>17</v>
      </c>
      <c r="D2" s="27" t="s">
        <v>18</v>
      </c>
      <c r="F2" s="27" t="s">
        <v>17</v>
      </c>
      <c r="G2" s="27" t="s">
        <v>18</v>
      </c>
      <c r="K2" s="27" t="s">
        <v>17</v>
      </c>
      <c r="L2" s="27" t="s">
        <v>18</v>
      </c>
    </row>
    <row r="3" spans="1:12" x14ac:dyDescent="0.2">
      <c r="A3" s="9" t="s">
        <v>19</v>
      </c>
      <c r="B3" s="9" t="s">
        <v>20</v>
      </c>
      <c r="C3" s="22">
        <v>1.2593233126621559</v>
      </c>
      <c r="D3" s="22">
        <v>0.83196939084973887</v>
      </c>
      <c r="F3" s="8">
        <v>0.93</v>
      </c>
      <c r="G3" s="8">
        <v>1.05</v>
      </c>
    </row>
    <row r="4" spans="1:12" x14ac:dyDescent="0.2">
      <c r="A4" s="9" t="s">
        <v>19</v>
      </c>
      <c r="B4" s="9" t="s">
        <v>21</v>
      </c>
      <c r="C4" s="22">
        <v>1.3382377612389948</v>
      </c>
      <c r="D4" s="22">
        <v>0.72599120075222268</v>
      </c>
      <c r="F4" s="8">
        <v>0.06</v>
      </c>
      <c r="G4" s="8">
        <v>1.76</v>
      </c>
    </row>
    <row r="5" spans="1:12" x14ac:dyDescent="0.2">
      <c r="A5" s="9" t="s">
        <v>19</v>
      </c>
      <c r="B5" s="9" t="s">
        <v>22</v>
      </c>
      <c r="C5" s="22">
        <v>1.3939436799464819</v>
      </c>
      <c r="D5" s="22">
        <v>0.70095200893472753</v>
      </c>
      <c r="F5" s="8">
        <v>0.65</v>
      </c>
      <c r="G5" s="8">
        <v>1.27</v>
      </c>
    </row>
    <row r="6" spans="1:12" x14ac:dyDescent="0.2">
      <c r="A6" s="9" t="s">
        <v>23</v>
      </c>
      <c r="B6" s="9" t="s">
        <v>24</v>
      </c>
      <c r="C6" s="8">
        <v>1.77</v>
      </c>
      <c r="D6" s="8">
        <v>1.32</v>
      </c>
      <c r="F6" s="8">
        <v>0.98</v>
      </c>
      <c r="G6" s="8">
        <v>1.6</v>
      </c>
    </row>
    <row r="7" spans="1:12" x14ac:dyDescent="0.2">
      <c r="A7" s="9" t="s">
        <v>23</v>
      </c>
      <c r="B7" s="9" t="s">
        <v>25</v>
      </c>
      <c r="C7" s="8">
        <v>1.37</v>
      </c>
      <c r="D7" s="8">
        <v>1.02</v>
      </c>
      <c r="F7" s="8">
        <v>0.86</v>
      </c>
      <c r="G7" s="8">
        <v>1.1000000000000001</v>
      </c>
    </row>
    <row r="8" spans="1:12" x14ac:dyDescent="0.2">
      <c r="A8" s="9" t="s">
        <v>23</v>
      </c>
      <c r="B8" s="12" t="s">
        <v>26</v>
      </c>
      <c r="C8" s="8">
        <v>1.35</v>
      </c>
      <c r="D8" s="8">
        <v>0.51</v>
      </c>
      <c r="F8" s="8">
        <v>1.1100000000000001</v>
      </c>
      <c r="G8" s="8">
        <v>2.0299999999999998</v>
      </c>
    </row>
    <row r="9" spans="1:12" x14ac:dyDescent="0.2">
      <c r="A9" s="9" t="s">
        <v>23</v>
      </c>
      <c r="B9" s="9" t="s">
        <v>27</v>
      </c>
      <c r="C9" s="8">
        <v>1.37</v>
      </c>
      <c r="D9" s="8">
        <v>0.88</v>
      </c>
      <c r="F9" s="8">
        <v>0.93</v>
      </c>
      <c r="G9" s="8">
        <v>1.07</v>
      </c>
    </row>
    <row r="10" spans="1:12" x14ac:dyDescent="0.2">
      <c r="A10" s="28" t="s">
        <v>28</v>
      </c>
      <c r="B10" s="9" t="s">
        <v>29</v>
      </c>
      <c r="C10" s="22">
        <v>1.0724487064617156</v>
      </c>
      <c r="D10" s="15">
        <v>0.530028633126713</v>
      </c>
      <c r="I10" s="28" t="s">
        <v>28</v>
      </c>
      <c r="J10" s="9" t="s">
        <v>29</v>
      </c>
      <c r="K10" s="22">
        <v>0.38088130450526581</v>
      </c>
      <c r="L10" s="15">
        <v>1.4743740834897405</v>
      </c>
    </row>
    <row r="11" spans="1:12" x14ac:dyDescent="0.2">
      <c r="A11" s="28" t="s">
        <v>30</v>
      </c>
      <c r="B11" s="9" t="s">
        <v>31</v>
      </c>
      <c r="C11" s="22">
        <v>1.422043157334141</v>
      </c>
      <c r="D11" s="22">
        <v>0.34125165148744696</v>
      </c>
      <c r="I11" s="28" t="s">
        <v>30</v>
      </c>
      <c r="J11" s="9" t="s">
        <v>31</v>
      </c>
      <c r="K11" s="22">
        <v>0.58868605071798186</v>
      </c>
      <c r="L11" s="15">
        <v>1.5879560787617215</v>
      </c>
    </row>
    <row r="12" spans="1:12" x14ac:dyDescent="0.2">
      <c r="A12" s="9" t="s">
        <v>32</v>
      </c>
      <c r="B12" s="9">
        <v>1467</v>
      </c>
      <c r="C12" s="22">
        <v>1.114792601064067</v>
      </c>
      <c r="D12" s="22">
        <v>0.88748383055241797</v>
      </c>
      <c r="I12" s="9" t="s">
        <v>19</v>
      </c>
      <c r="K12" s="15">
        <v>0.65</v>
      </c>
      <c r="L12" s="15">
        <v>1.34</v>
      </c>
    </row>
    <row r="13" spans="1:12" x14ac:dyDescent="0.2">
      <c r="A13" s="9" t="s">
        <v>32</v>
      </c>
      <c r="B13" s="9">
        <v>1470</v>
      </c>
      <c r="C13" s="29">
        <v>5.8083628435501264</v>
      </c>
      <c r="D13" s="22">
        <v>0.20387538944696573</v>
      </c>
      <c r="I13" s="9" t="s">
        <v>19</v>
      </c>
      <c r="K13" s="15">
        <v>0.81</v>
      </c>
      <c r="L13" s="15">
        <v>1.03</v>
      </c>
    </row>
    <row r="14" spans="1:12" x14ac:dyDescent="0.2">
      <c r="A14" s="9" t="s">
        <v>32</v>
      </c>
      <c r="B14" s="9">
        <v>1472</v>
      </c>
      <c r="C14" s="22">
        <v>1.296676778065619</v>
      </c>
      <c r="D14" s="22">
        <v>0.77171084111200217</v>
      </c>
      <c r="I14" s="9" t="s">
        <v>33</v>
      </c>
      <c r="K14" s="15">
        <v>0.13</v>
      </c>
      <c r="L14" s="15">
        <v>1.67</v>
      </c>
    </row>
    <row r="17" spans="1:12" x14ac:dyDescent="0.2">
      <c r="B17" s="17" t="s">
        <v>205</v>
      </c>
      <c r="C17" s="19">
        <f>AVERAGE(C3:C15)</f>
        <v>1.7138190700269418</v>
      </c>
      <c r="D17" s="19">
        <f>AVERAGE(D3:D15)</f>
        <v>0.72693857885518609</v>
      </c>
      <c r="E17" s="19"/>
      <c r="F17" s="19">
        <f>AVERAGE(F3:F15)</f>
        <v>0.78857142857142848</v>
      </c>
      <c r="G17" s="19">
        <f>AVERAGE(G3:G15)</f>
        <v>1.4114285714285713</v>
      </c>
      <c r="J17" s="17" t="s">
        <v>205</v>
      </c>
      <c r="K17" s="19">
        <f>AVERAGE(K3:K15)</f>
        <v>0.51191347104464957</v>
      </c>
      <c r="L17" s="19">
        <f>AVERAGE(L3:L15)</f>
        <v>1.4204660324502925</v>
      </c>
    </row>
    <row r="18" spans="1:12" x14ac:dyDescent="0.2">
      <c r="B18" s="18" t="s">
        <v>206</v>
      </c>
      <c r="C18" s="20">
        <f>STDEV(C3:C15)</f>
        <v>1.3009265907119201</v>
      </c>
      <c r="D18" s="20">
        <f>STDEV(D3:D15)</f>
        <v>0.30282113357786578</v>
      </c>
      <c r="E18" s="20"/>
      <c r="F18" s="20">
        <f>STDEV(F3:F15)</f>
        <v>0.35002040756831015</v>
      </c>
      <c r="G18" s="20">
        <f>STDEV(G3:G15)</f>
        <v>0.38813350673140795</v>
      </c>
      <c r="J18" s="18" t="s">
        <v>206</v>
      </c>
      <c r="K18" s="20">
        <f>STDEV(K3:K15)</f>
        <v>0.26308022789952368</v>
      </c>
      <c r="L18" s="20">
        <f>STDEV(L3:L15)</f>
        <v>0.25108001683583764</v>
      </c>
    </row>
    <row r="19" spans="1:12" x14ac:dyDescent="0.2">
      <c r="C19" s="8"/>
      <c r="D19" s="8"/>
      <c r="I19" s="28"/>
      <c r="J19" s="28"/>
      <c r="K19" s="8"/>
      <c r="L19" s="8"/>
    </row>
    <row r="20" spans="1:12" x14ac:dyDescent="0.2">
      <c r="C20" s="8"/>
      <c r="D20" s="8"/>
      <c r="I20" s="28"/>
      <c r="J20" s="28"/>
      <c r="K20" s="8"/>
      <c r="L20" s="8"/>
    </row>
    <row r="21" spans="1:12" x14ac:dyDescent="0.2">
      <c r="C21" s="8"/>
      <c r="D21" s="8"/>
    </row>
    <row r="22" spans="1:12" x14ac:dyDescent="0.2">
      <c r="A22" s="28"/>
      <c r="C22" s="22"/>
      <c r="D22" s="22"/>
    </row>
    <row r="23" spans="1:12" x14ac:dyDescent="0.2">
      <c r="A23" s="28"/>
      <c r="C23" s="22"/>
      <c r="D23" s="22"/>
    </row>
    <row r="24" spans="1:12" x14ac:dyDescent="0.2">
      <c r="C24" s="22"/>
      <c r="D24" s="22"/>
    </row>
    <row r="25" spans="1:12" x14ac:dyDescent="0.2">
      <c r="C25" s="22"/>
      <c r="D25" s="22"/>
    </row>
    <row r="26" spans="1:12" x14ac:dyDescent="0.2">
      <c r="C26" s="22"/>
      <c r="D26" s="22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F575A0-11DA-AA43-87C2-C1A0ADE985BC}">
  <dimension ref="A1:F11"/>
  <sheetViews>
    <sheetView workbookViewId="0">
      <selection sqref="A1:XFD1048576"/>
    </sheetView>
  </sheetViews>
  <sheetFormatPr baseColWidth="10" defaultColWidth="11" defaultRowHeight="16" x14ac:dyDescent="0.2"/>
  <cols>
    <col min="1" max="3" width="11" style="9"/>
    <col min="4" max="4" width="1.1640625" style="9" customWidth="1"/>
    <col min="5" max="16384" width="11" style="9"/>
  </cols>
  <sheetData>
    <row r="1" spans="1:6" x14ac:dyDescent="0.2">
      <c r="A1" s="9" t="s">
        <v>34</v>
      </c>
      <c r="E1" s="9" t="s">
        <v>35</v>
      </c>
    </row>
    <row r="2" spans="1:6" x14ac:dyDescent="0.2">
      <c r="A2" s="5" t="s">
        <v>16</v>
      </c>
      <c r="B2" s="5" t="s">
        <v>36</v>
      </c>
      <c r="C2" s="5" t="s">
        <v>37</v>
      </c>
      <c r="D2" s="5"/>
      <c r="E2" s="5" t="s">
        <v>36</v>
      </c>
      <c r="F2" s="5" t="s">
        <v>37</v>
      </c>
    </row>
    <row r="3" spans="1:6" x14ac:dyDescent="0.2">
      <c r="A3" s="9">
        <v>1482</v>
      </c>
      <c r="B3" s="9">
        <v>34.200000000000003</v>
      </c>
      <c r="C3" s="9">
        <v>44</v>
      </c>
      <c r="E3" s="9">
        <v>39.64</v>
      </c>
      <c r="F3" s="9">
        <v>47.5</v>
      </c>
    </row>
    <row r="4" spans="1:6" x14ac:dyDescent="0.2">
      <c r="A4" s="9">
        <v>1484</v>
      </c>
      <c r="B4" s="9">
        <v>26.1</v>
      </c>
      <c r="C4" s="9">
        <v>56.9</v>
      </c>
      <c r="E4" s="9">
        <v>32.159999999999997</v>
      </c>
      <c r="F4" s="9">
        <v>64.69</v>
      </c>
    </row>
    <row r="5" spans="1:6" x14ac:dyDescent="0.2">
      <c r="A5" s="9">
        <v>1490</v>
      </c>
      <c r="B5" s="9">
        <v>26.1</v>
      </c>
      <c r="C5" s="9">
        <v>34.5</v>
      </c>
      <c r="E5" s="9">
        <v>30.490000000000002</v>
      </c>
      <c r="F5" s="9">
        <v>39.68</v>
      </c>
    </row>
    <row r="6" spans="1:6" x14ac:dyDescent="0.2">
      <c r="A6" s="30" t="s">
        <v>38</v>
      </c>
      <c r="B6" s="9">
        <v>18.399999999999999</v>
      </c>
      <c r="C6" s="9">
        <v>26.5</v>
      </c>
      <c r="E6" s="9">
        <v>23.59</v>
      </c>
      <c r="F6" s="9">
        <v>35.67</v>
      </c>
    </row>
    <row r="7" spans="1:6" x14ac:dyDescent="0.2">
      <c r="A7" s="9">
        <v>1489</v>
      </c>
      <c r="B7" s="9">
        <v>18.600000000000001</v>
      </c>
      <c r="C7" s="9">
        <v>30.1</v>
      </c>
      <c r="E7" s="9">
        <v>27.57</v>
      </c>
      <c r="F7" s="9">
        <v>36.85</v>
      </c>
    </row>
    <row r="10" spans="1:6" x14ac:dyDescent="0.2">
      <c r="A10" s="17" t="s">
        <v>205</v>
      </c>
      <c r="B10" s="19">
        <f>AVERAGE(B3:B8)</f>
        <v>24.68</v>
      </c>
      <c r="C10" s="19">
        <f>AVERAGE(C3:C8)</f>
        <v>38.4</v>
      </c>
      <c r="E10" s="19">
        <f>AVERAGE(E3:E8)</f>
        <v>30.689999999999998</v>
      </c>
      <c r="F10" s="19">
        <f>AVERAGE(F3:F8)</f>
        <v>44.878</v>
      </c>
    </row>
    <row r="11" spans="1:6" x14ac:dyDescent="0.2">
      <c r="A11" s="18" t="s">
        <v>206</v>
      </c>
      <c r="B11" s="20">
        <f>STDEV(B3:B8)</f>
        <v>6.5396483085866359</v>
      </c>
      <c r="C11" s="20">
        <f>STDEV(C3:C8)</f>
        <v>12.240506525466989</v>
      </c>
      <c r="E11" s="20">
        <f>STDEV(E3:E8)</f>
        <v>5.9675748843227936</v>
      </c>
      <c r="F11" s="20">
        <f>STDEV(F3:F8)</f>
        <v>11.996306514923658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52</vt:i4>
      </vt:variant>
    </vt:vector>
  </HeadingPairs>
  <TitlesOfParts>
    <vt:vector size="52" baseType="lpstr">
      <vt:lpstr>1D (Ins1 Cre Grp78 BG)</vt:lpstr>
      <vt:lpstr>1F (Ins1 Cre Grp78 Insulin)</vt:lpstr>
      <vt:lpstr>1H (Ins1 Cre Grp78 Bwt)</vt:lpstr>
      <vt:lpstr>2B-D (beta cell mass)</vt:lpstr>
      <vt:lpstr>2F-H (%beta cells islet)</vt:lpstr>
      <vt:lpstr>3B-D (Ins1 Cre Grp78 BrdU)</vt:lpstr>
      <vt:lpstr>3F-G ((Ins1 Cre Grp78 TUNEL)</vt:lpstr>
      <vt:lpstr>4B (Grp78 KD-WB quants)</vt:lpstr>
      <vt:lpstr>4D (Annexin V flow)</vt:lpstr>
      <vt:lpstr>4F (Grp78 KD-TUNEL)</vt:lpstr>
      <vt:lpstr>4G-H (Grp78 KD-Real time)</vt:lpstr>
      <vt:lpstr>5B (KD+pathway Inh TUNEL)</vt:lpstr>
      <vt:lpstr>5D (Wb quants pJNK)</vt:lpstr>
      <vt:lpstr>5F-G (Real time-Chop ShRNA)</vt:lpstr>
      <vt:lpstr>5I (TUNEL-Chop ShRNA)</vt:lpstr>
      <vt:lpstr>5K (Wb Quants-JNK inh)</vt:lpstr>
      <vt:lpstr>5M (TUNEL-JNK inh)</vt:lpstr>
      <vt:lpstr>6F (p-p53 JNK Inh)</vt:lpstr>
      <vt:lpstr>6G-H (p53 targets-JNK Inh)</vt:lpstr>
      <vt:lpstr>6J (TUNEL-p53 Inh)</vt:lpstr>
      <vt:lpstr>6LM (p53 kd qPCR)</vt:lpstr>
      <vt:lpstr>6O (TUNEL)</vt:lpstr>
      <vt:lpstr>7B (pJNK Intensity-2w)k</vt:lpstr>
      <vt:lpstr>7D (Ins1 Cre-pJNK with JNK Inh)</vt:lpstr>
      <vt:lpstr>7E (pJNK intensity quartiles)</vt:lpstr>
      <vt:lpstr>7F-G (ins1 cre-JNK inh bg)</vt:lpstr>
      <vt:lpstr>7I (ins1 cre-JNK inh-TUNEL)</vt:lpstr>
      <vt:lpstr>7J(ins1 cre-JNK inh BCM)</vt:lpstr>
      <vt:lpstr>8B (Akita-JNK inh pJNK)</vt:lpstr>
      <vt:lpstr>8C (Ak JNK inh Bg)</vt:lpstr>
      <vt:lpstr>8E (Ak Jnk Inh-TUNEL)</vt:lpstr>
      <vt:lpstr>8F Ak JNK inh-BCM)</vt:lpstr>
      <vt:lpstr>8G (Ak JNK inh-Insulin)</vt:lpstr>
      <vt:lpstr>8I (28d JNKi BG)</vt:lpstr>
      <vt:lpstr>8J (28d insulin)</vt:lpstr>
      <vt:lpstr>8L (28d TUNEL)</vt:lpstr>
      <vt:lpstr>8M (28d BCM)</vt:lpstr>
      <vt:lpstr>9B-C (pJNK control vs t2d)</vt:lpstr>
      <vt:lpstr>9 E-F (GRP78 control vs t2d)</vt:lpstr>
      <vt:lpstr>9G (HI Grp78 KD-real time)</vt:lpstr>
      <vt:lpstr>9I (HI Grp78 KD-TUNEL)</vt:lpstr>
      <vt:lpstr>9J (HI Grp78 KD-JNK targets)</vt:lpstr>
      <vt:lpstr>9L-M (TUNEL-p53 and JNK Inh)</vt:lpstr>
      <vt:lpstr>SFig2 Grp78ko m vs f</vt:lpstr>
      <vt:lpstr>SFig3 (8wk deletion)</vt:lpstr>
      <vt:lpstr>SFig4 (alpha cells)</vt:lpstr>
      <vt:lpstr>SFig5 (SST counts)</vt:lpstr>
      <vt:lpstr>SFig6 (Grp78kd UPR)</vt:lpstr>
      <vt:lpstr>SFig7 GRP78 kd prolif</vt:lpstr>
      <vt:lpstr>SFig8 UPR inhib</vt:lpstr>
      <vt:lpstr>SFig10 (Ak-JNK targets liver)</vt:lpstr>
      <vt:lpstr>SFig11 human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Rohit Sharma</dc:creator>
  <cp:keywords/>
  <dc:description/>
  <cp:lastModifiedBy>Laura Alonso</cp:lastModifiedBy>
  <cp:revision/>
  <dcterms:created xsi:type="dcterms:W3CDTF">2024-08-05T02:16:03Z</dcterms:created>
  <dcterms:modified xsi:type="dcterms:W3CDTF">2026-04-06T19:00:50Z</dcterms:modified>
  <cp:category/>
  <cp:contentStatus/>
</cp:coreProperties>
</file>