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0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5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6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7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18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1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2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21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276309\Desktop\"/>
    </mc:Choice>
  </mc:AlternateContent>
  <xr:revisionPtr revIDLastSave="0" documentId="13_ncr:1_{3052F16D-CC40-4217-B39C-C438B1B43723}" xr6:coauthVersionLast="47" xr6:coauthVersionMax="47" xr10:uidLastSave="{00000000-0000-0000-0000-000000000000}"/>
  <bookViews>
    <workbookView xWindow="28680" yWindow="-120" windowWidth="29040" windowHeight="15720" tabRatio="673" activeTab="2" xr2:uid="{00000000-000D-0000-FFFF-FFFF00000000}"/>
  </bookViews>
  <sheets>
    <sheet name="Fig. 1C" sheetId="16" r:id="rId1"/>
    <sheet name="Fig. 1E" sheetId="1" r:id="rId2"/>
    <sheet name="Fig. 1G" sheetId="17" r:id="rId3"/>
    <sheet name="Fig. 2B" sheetId="18" r:id="rId4"/>
    <sheet name="Fig. 2D" sheetId="19" r:id="rId5"/>
    <sheet name="Fig. 2F" sheetId="21" r:id="rId6"/>
    <sheet name="Fig. 2G" sheetId="20" r:id="rId7"/>
    <sheet name="Fig. 2I" sheetId="22" r:id="rId8"/>
    <sheet name="Fig. 3B" sheetId="2" r:id="rId9"/>
    <sheet name="Fig. 3D" sheetId="23" r:id="rId10"/>
    <sheet name="Fig. 4B" sheetId="24" r:id="rId11"/>
    <sheet name="Fig. 4D" sheetId="86" r:id="rId12"/>
    <sheet name="Fig. 4E" sheetId="27" r:id="rId13"/>
    <sheet name="Fig. 4F" sheetId="28" r:id="rId14"/>
    <sheet name="Fig. 4H" sheetId="25" r:id="rId15"/>
    <sheet name="Fig. 5B" sheetId="3" r:id="rId16"/>
    <sheet name="Fig. 5D" sheetId="30" r:id="rId17"/>
    <sheet name="Fig. 6B" sheetId="29" r:id="rId18"/>
    <sheet name="Fig. 6D" sheetId="31" r:id="rId19"/>
    <sheet name="Fig. 7B" sheetId="33" r:id="rId20"/>
    <sheet name="Fig. 7D" sheetId="34" r:id="rId21"/>
    <sheet name="Fig. 8A" sheetId="35" r:id="rId22"/>
    <sheet name="Fig. 8B" sheetId="4" r:id="rId23"/>
    <sheet name="Fig. 8C" sheetId="38" r:id="rId24"/>
    <sheet name="Fig. 8D" sheetId="40" r:id="rId25"/>
    <sheet name="Fig. 8E" sheetId="37" r:id="rId26"/>
    <sheet name="Fig. 8F" sheetId="41" r:id="rId27"/>
    <sheet name="Fig. 9B" sheetId="5" r:id="rId28"/>
    <sheet name="Fig. 9C" sheetId="43" r:id="rId29"/>
    <sheet name="Fig. 9E" sheetId="42" r:id="rId30"/>
    <sheet name="Fig. 10A" sheetId="45" r:id="rId31"/>
    <sheet name="Fig. 10B" sheetId="46" r:id="rId32"/>
    <sheet name="Fig. 10C" sheetId="47" r:id="rId33"/>
    <sheet name="Fig. 10E" sheetId="6" r:id="rId34"/>
    <sheet name="Fig. 10F" sheetId="48" r:id="rId35"/>
    <sheet name="Fig. 11B" sheetId="49" r:id="rId36"/>
    <sheet name="Fig. 11D" sheetId="87" r:id="rId37"/>
    <sheet name="Fig. 12B" sheetId="50" r:id="rId38"/>
    <sheet name="Fig. 13B" sheetId="7" r:id="rId39"/>
    <sheet name="Fig. 15A" sheetId="51" r:id="rId40"/>
    <sheet name="Fig. 15B" sheetId="8" r:id="rId41"/>
    <sheet name="Fig. 15C" sheetId="53" r:id="rId42"/>
    <sheet name="Fig. 15E" sheetId="52" r:id="rId43"/>
    <sheet name="Fig. 15F" sheetId="54" r:id="rId44"/>
    <sheet name="Fig. 15G" sheetId="55" r:id="rId45"/>
    <sheet name="Fig. 15H" sheetId="56" r:id="rId46"/>
    <sheet name="Fig. 15I" sheetId="57" r:id="rId47"/>
    <sheet name="Fig. 16B" sheetId="58" r:id="rId48"/>
    <sheet name="Fig. 16C" sheetId="59" r:id="rId49"/>
    <sheet name="Fig. 16D" sheetId="60" r:id="rId50"/>
    <sheet name="Fig. 16E" sheetId="9" r:id="rId51"/>
    <sheet name="Fig. 16F" sheetId="61" r:id="rId52"/>
    <sheet name="Fig. 16G" sheetId="62" r:id="rId53"/>
    <sheet name="Fig. 16H" sheetId="63" r:id="rId54"/>
    <sheet name="Fig. 16I" sheetId="64" r:id="rId55"/>
    <sheet name="Supp. Fig. 1B" sheetId="10" r:id="rId56"/>
    <sheet name="Supp. Fig. 1F" sheetId="67" r:id="rId57"/>
    <sheet name="Supp. Fig. 1H" sheetId="65" r:id="rId58"/>
    <sheet name="Supp. Fig. 2B" sheetId="32" r:id="rId59"/>
    <sheet name="Supp. Fig. 2D" sheetId="11" r:id="rId60"/>
    <sheet name="Supp. Fig. 3B" sheetId="68" r:id="rId61"/>
    <sheet name="Supp. Fig. 3C" sheetId="69" r:id="rId62"/>
    <sheet name="Supp. Fig. 3D" sheetId="70" r:id="rId63"/>
    <sheet name="Supp. Fig. 4B" sheetId="12" r:id="rId64"/>
    <sheet name="Supp. Fig. 4D" sheetId="72" r:id="rId65"/>
    <sheet name="Supp. Fig. 4E" sheetId="73" r:id="rId66"/>
    <sheet name="Supp. Fig. 4G" sheetId="13" r:id="rId67"/>
    <sheet name="Supp. Fig. 4I" sheetId="76" r:id="rId68"/>
    <sheet name="Supp. Fig. 5B" sheetId="14" r:id="rId69"/>
    <sheet name="Supp. Fig. 5D" sheetId="74" r:id="rId70"/>
    <sheet name="Supp. Fig. 5F" sheetId="15" r:id="rId71"/>
    <sheet name="Supp. Fig. 6B" sheetId="77" r:id="rId72"/>
    <sheet name="Supp. Fig. 6D" sheetId="78" r:id="rId73"/>
    <sheet name="Supp. Fig. 7B" sheetId="79" r:id="rId74"/>
    <sheet name="Supp. Fig. 7D" sheetId="80" r:id="rId75"/>
    <sheet name="Supp. Fig. 7E-N" sheetId="81" r:id="rId76"/>
    <sheet name="Supp. Fig. 8A" sheetId="88" r:id="rId77"/>
    <sheet name="Supp. Fig. 8B" sheetId="89" r:id="rId78"/>
    <sheet name="Supp. Fig. 8C" sheetId="90" r:id="rId79"/>
    <sheet name="Supp. Fig. 9A" sheetId="82" r:id="rId80"/>
    <sheet name="Supp. Fig. 9B" sheetId="83" r:id="rId81"/>
    <sheet name="Supp. Fig. 9C" sheetId="84" r:id="rId82"/>
    <sheet name="Supp. Fig. 9D" sheetId="85" r:id="rId83"/>
  </sheets>
  <definedNames>
    <definedName name="_xlnm.Print_Area" localSheetId="45">'Fig. 15H'!$B$34:$H$47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5" l="1"/>
  <c r="Q7" i="15"/>
  <c r="P7" i="15"/>
  <c r="O7" i="15"/>
  <c r="N7" i="15"/>
  <c r="M7" i="15"/>
  <c r="L7" i="15"/>
  <c r="R6" i="15"/>
  <c r="N6" i="15" s="1"/>
  <c r="N8" i="15" s="1"/>
  <c r="L8" i="15" l="1"/>
  <c r="M8" i="15"/>
  <c r="O8" i="15"/>
  <c r="L6" i="15"/>
  <c r="O6" i="15"/>
  <c r="P6" i="15"/>
  <c r="P8" i="15" s="1"/>
  <c r="Q6" i="15"/>
  <c r="Q8" i="15" s="1"/>
  <c r="M6" i="15"/>
  <c r="K24" i="55" l="1"/>
  <c r="M6" i="87"/>
  <c r="N6" i="87"/>
  <c r="O6" i="87"/>
  <c r="P6" i="87"/>
  <c r="Q6" i="87"/>
  <c r="L6" i="87"/>
  <c r="R5" i="87"/>
  <c r="L5" i="87" s="1"/>
  <c r="M4" i="87"/>
  <c r="N4" i="87"/>
  <c r="O4" i="87"/>
  <c r="P4" i="87"/>
  <c r="Q4" i="87"/>
  <c r="L4" i="87"/>
  <c r="R4" i="87"/>
  <c r="AC6" i="6"/>
  <c r="W6" i="6" s="1"/>
  <c r="AB6" i="6"/>
  <c r="Z6" i="6"/>
  <c r="Y6" i="6"/>
  <c r="X6" i="6"/>
  <c r="U6" i="6"/>
  <c r="T6" i="6"/>
  <c r="R6" i="6"/>
  <c r="AC5" i="6"/>
  <c r="AB5" i="6" s="1"/>
  <c r="AB7" i="6" s="1"/>
  <c r="R16" i="48"/>
  <c r="O15" i="47"/>
  <c r="O16" i="47"/>
  <c r="O17" i="47"/>
  <c r="O18" i="47"/>
  <c r="O19" i="47"/>
  <c r="O20" i="47"/>
  <c r="O21" i="47"/>
  <c r="O22" i="47"/>
  <c r="O23" i="47"/>
  <c r="O24" i="47"/>
  <c r="O25" i="47"/>
  <c r="O26" i="47"/>
  <c r="O27" i="47"/>
  <c r="O14" i="47"/>
  <c r="Q5" i="87" l="1"/>
  <c r="P5" i="87"/>
  <c r="O5" i="87"/>
  <c r="N5" i="87"/>
  <c r="M5" i="87"/>
  <c r="V5" i="6"/>
  <c r="W5" i="6"/>
  <c r="W7" i="6" s="1"/>
  <c r="S6" i="6"/>
  <c r="AA6" i="6"/>
  <c r="X5" i="6"/>
  <c r="X7" i="6" s="1"/>
  <c r="U5" i="6"/>
  <c r="U7" i="6" s="1"/>
  <c r="Y5" i="6"/>
  <c r="Y7" i="6" s="1"/>
  <c r="R5" i="6"/>
  <c r="R7" i="6" s="1"/>
  <c r="Z5" i="6"/>
  <c r="Z7" i="6" s="1"/>
  <c r="V6" i="6"/>
  <c r="S5" i="6"/>
  <c r="S7" i="6" s="1"/>
  <c r="AA5" i="6"/>
  <c r="AA7" i="6" s="1"/>
  <c r="T5" i="6"/>
  <c r="T7" i="6" s="1"/>
  <c r="P14" i="47"/>
  <c r="V7" i="6" l="1"/>
  <c r="N96" i="42" l="1"/>
  <c r="AE38" i="45"/>
  <c r="AC22" i="40"/>
  <c r="AD22" i="40" s="1"/>
  <c r="AE22" i="40" s="1"/>
  <c r="AF22" i="40" s="1"/>
  <c r="AG22" i="40" s="1"/>
  <c r="AI22" i="40" s="1"/>
  <c r="AC37" i="40"/>
  <c r="AD37" i="40" s="1"/>
  <c r="AE37" i="40" s="1"/>
  <c r="AF37" i="40" s="1"/>
  <c r="AG37" i="40" s="1"/>
  <c r="AI37" i="40" s="1"/>
  <c r="AC36" i="40"/>
  <c r="AD36" i="40" s="1"/>
  <c r="AE36" i="40" s="1"/>
  <c r="AF36" i="40" s="1"/>
  <c r="AG36" i="40" s="1"/>
  <c r="AI36" i="40" s="1"/>
  <c r="AC35" i="40"/>
  <c r="AD35" i="40" s="1"/>
  <c r="AE35" i="40" s="1"/>
  <c r="AF35" i="40" s="1"/>
  <c r="AG35" i="40" s="1"/>
  <c r="AI35" i="40" s="1"/>
  <c r="AC34" i="40"/>
  <c r="AD34" i="40" s="1"/>
  <c r="AE34" i="40" s="1"/>
  <c r="AF34" i="40" s="1"/>
  <c r="AG34" i="40" s="1"/>
  <c r="AI34" i="40" s="1"/>
  <c r="AC33" i="40"/>
  <c r="AD33" i="40" s="1"/>
  <c r="AE33" i="40" s="1"/>
  <c r="AF33" i="40" s="1"/>
  <c r="AG33" i="40" s="1"/>
  <c r="AI33" i="40" s="1"/>
  <c r="AC32" i="40"/>
  <c r="AD32" i="40" s="1"/>
  <c r="AE32" i="40" s="1"/>
  <c r="AF32" i="40" s="1"/>
  <c r="AG32" i="40" s="1"/>
  <c r="AI32" i="40" s="1"/>
  <c r="AC31" i="40"/>
  <c r="AD31" i="40" s="1"/>
  <c r="AE31" i="40" s="1"/>
  <c r="AF31" i="40" s="1"/>
  <c r="AG31" i="40" s="1"/>
  <c r="AI31" i="40" s="1"/>
  <c r="AC30" i="40"/>
  <c r="AD30" i="40" s="1"/>
  <c r="AE30" i="40" s="1"/>
  <c r="AF30" i="40" s="1"/>
  <c r="AG30" i="40" s="1"/>
  <c r="AI30" i="40" s="1"/>
  <c r="AC29" i="40"/>
  <c r="AD29" i="40" s="1"/>
  <c r="AE29" i="40" s="1"/>
  <c r="AF29" i="40" s="1"/>
  <c r="AG29" i="40" s="1"/>
  <c r="AI29" i="40" s="1"/>
  <c r="AC28" i="40"/>
  <c r="AD28" i="40" s="1"/>
  <c r="AE28" i="40" s="1"/>
  <c r="AF28" i="40" s="1"/>
  <c r="AG28" i="40" s="1"/>
  <c r="AI28" i="40" s="1"/>
  <c r="AC27" i="40"/>
  <c r="AD27" i="40" s="1"/>
  <c r="AE27" i="40" s="1"/>
  <c r="AF27" i="40" s="1"/>
  <c r="AG27" i="40" s="1"/>
  <c r="AI27" i="40" s="1"/>
  <c r="AC26" i="40"/>
  <c r="AD26" i="40" s="1"/>
  <c r="AE26" i="40" s="1"/>
  <c r="AF26" i="40" s="1"/>
  <c r="AG26" i="40" s="1"/>
  <c r="AI26" i="40" s="1"/>
  <c r="AC25" i="40"/>
  <c r="AD25" i="40" s="1"/>
  <c r="AE25" i="40" s="1"/>
  <c r="AF25" i="40" s="1"/>
  <c r="AG25" i="40" s="1"/>
  <c r="AI25" i="40" s="1"/>
  <c r="AC24" i="40"/>
  <c r="AD24" i="40" s="1"/>
  <c r="AE24" i="40" s="1"/>
  <c r="AF24" i="40" s="1"/>
  <c r="AG24" i="40" s="1"/>
  <c r="AI24" i="40" s="1"/>
  <c r="AC23" i="40"/>
  <c r="AD23" i="40" s="1"/>
  <c r="AE23" i="40" s="1"/>
  <c r="AF23" i="40" s="1"/>
  <c r="AG23" i="40" s="1"/>
  <c r="AI23" i="40" s="1"/>
  <c r="AO4" i="40"/>
  <c r="AO7" i="40" s="1"/>
  <c r="AP7" i="40" s="1"/>
  <c r="AQ12" i="40"/>
  <c r="AO12" i="40"/>
  <c r="AP12" i="40" s="1"/>
  <c r="AQ11" i="40"/>
  <c r="AO11" i="40"/>
  <c r="AP11" i="40" s="1"/>
  <c r="AQ10" i="40"/>
  <c r="AO10" i="40"/>
  <c r="AP10" i="40" s="1"/>
  <c r="AQ9" i="40"/>
  <c r="AO9" i="40"/>
  <c r="AP9" i="40" s="1"/>
  <c r="AQ8" i="40"/>
  <c r="AO8" i="40"/>
  <c r="AP8" i="40" s="1"/>
  <c r="AJ22" i="40" l="1"/>
  <c r="AK30" i="40" s="1"/>
  <c r="AO5" i="40"/>
  <c r="AP5" i="40" s="1"/>
  <c r="AO6" i="40"/>
  <c r="AP6" i="40" s="1"/>
  <c r="AK36" i="40" l="1"/>
  <c r="AK37" i="40"/>
  <c r="AK29" i="40"/>
  <c r="AK25" i="40"/>
  <c r="AK28" i="40"/>
  <c r="AK33" i="40"/>
  <c r="AK35" i="40"/>
  <c r="AK32" i="40"/>
  <c r="AK24" i="40"/>
  <c r="AK23" i="40"/>
  <c r="AK26" i="40"/>
  <c r="AK34" i="40"/>
  <c r="AK27" i="40"/>
  <c r="AK31" i="40"/>
  <c r="AK22" i="40"/>
  <c r="L6" i="86" l="1"/>
  <c r="R6" i="86"/>
  <c r="N6" i="86" s="1"/>
  <c r="M5" i="86"/>
  <c r="N5" i="86"/>
  <c r="O5" i="86"/>
  <c r="P5" i="86"/>
  <c r="Q5" i="86"/>
  <c r="L5" i="86"/>
  <c r="R5" i="86"/>
  <c r="M6" i="86" l="1"/>
  <c r="M7" i="86" s="1"/>
  <c r="L7" i="86"/>
  <c r="Q6" i="86"/>
  <c r="P6" i="86"/>
  <c r="O6" i="86"/>
  <c r="O7" i="86" s="1"/>
  <c r="P7" i="86"/>
  <c r="Q7" i="86"/>
  <c r="N7" i="86"/>
  <c r="G5" i="25"/>
  <c r="G130" i="81"/>
  <c r="F130" i="81"/>
  <c r="E137" i="81"/>
  <c r="E130" i="81"/>
  <c r="E7" i="81"/>
  <c r="E8" i="81"/>
  <c r="E9" i="81"/>
  <c r="F9" i="81" l="1"/>
  <c r="G9" i="81" s="1"/>
  <c r="I9" i="81" s="1"/>
  <c r="F8" i="81"/>
  <c r="G8" i="81" s="1"/>
  <c r="I8" i="81" s="1"/>
  <c r="F7" i="81"/>
  <c r="G7" i="81" s="1"/>
  <c r="I7" i="81" s="1"/>
  <c r="E6" i="81"/>
  <c r="F6" i="81" s="1"/>
  <c r="G6" i="81" s="1"/>
  <c r="I6" i="81" s="1"/>
  <c r="E5" i="81"/>
  <c r="F5" i="81" s="1"/>
  <c r="G5" i="81" s="1"/>
  <c r="I5" i="81" s="1"/>
  <c r="E4" i="81"/>
  <c r="E11" i="81" s="1"/>
  <c r="E149" i="81"/>
  <c r="E148" i="81"/>
  <c r="E147" i="81"/>
  <c r="E146" i="81"/>
  <c r="E145" i="81"/>
  <c r="E144" i="81"/>
  <c r="E135" i="81"/>
  <c r="E134" i="81"/>
  <c r="E133" i="81"/>
  <c r="E132" i="81"/>
  <c r="E131" i="81"/>
  <c r="E119" i="81"/>
  <c r="E118" i="81"/>
  <c r="E117" i="81"/>
  <c r="E116" i="81"/>
  <c r="E115" i="81"/>
  <c r="E114" i="81"/>
  <c r="F4" i="81" l="1"/>
  <c r="G4" i="81" s="1"/>
  <c r="E151" i="81"/>
  <c r="F147" i="81" s="1"/>
  <c r="E121" i="81"/>
  <c r="F119" i="81" s="1"/>
  <c r="G119" i="81" s="1"/>
  <c r="I4" i="81" l="1"/>
  <c r="H4" i="81"/>
  <c r="F149" i="81"/>
  <c r="F148" i="81"/>
  <c r="F145" i="81"/>
  <c r="F146" i="81"/>
  <c r="F144" i="81"/>
  <c r="F134" i="81"/>
  <c r="G134" i="81" s="1"/>
  <c r="F135" i="81"/>
  <c r="G135" i="81" s="1"/>
  <c r="F131" i="81"/>
  <c r="G131" i="81" s="1"/>
  <c r="F133" i="81"/>
  <c r="G133" i="81" s="1"/>
  <c r="F132" i="81"/>
  <c r="G132" i="81" s="1"/>
  <c r="F114" i="81"/>
  <c r="G114" i="81" s="1"/>
  <c r="F115" i="81"/>
  <c r="G115" i="81" s="1"/>
  <c r="F117" i="81"/>
  <c r="G117" i="81" s="1"/>
  <c r="F116" i="81"/>
  <c r="G116" i="81" s="1"/>
  <c r="F118" i="81"/>
  <c r="G118" i="81" s="1"/>
  <c r="H130" i="81" l="1"/>
  <c r="I133" i="81" s="1"/>
  <c r="H114" i="81"/>
  <c r="I119" i="81" s="1"/>
  <c r="I134" i="81" l="1"/>
  <c r="I135" i="81"/>
  <c r="I130" i="81"/>
  <c r="I131" i="81"/>
  <c r="I132" i="81"/>
  <c r="I115" i="81"/>
  <c r="I114" i="81"/>
  <c r="I117" i="81"/>
  <c r="I116" i="81"/>
  <c r="I118" i="81"/>
  <c r="E103" i="81" l="1"/>
  <c r="E102" i="81"/>
  <c r="E101" i="81"/>
  <c r="E100" i="81"/>
  <c r="E99" i="81"/>
  <c r="E98" i="81"/>
  <c r="E49" i="81"/>
  <c r="E50" i="81"/>
  <c r="E51" i="81"/>
  <c r="E47" i="81"/>
  <c r="R75" i="54"/>
  <c r="E17" i="81"/>
  <c r="E18" i="81"/>
  <c r="E19" i="81"/>
  <c r="E20" i="81"/>
  <c r="E21" i="81"/>
  <c r="E16" i="81"/>
  <c r="E105" i="81" l="1"/>
  <c r="F103" i="81" s="1"/>
  <c r="G103" i="81" s="1"/>
  <c r="E23" i="81"/>
  <c r="F99" i="81" l="1"/>
  <c r="G99" i="81" s="1"/>
  <c r="F102" i="81"/>
  <c r="G102" i="81" s="1"/>
  <c r="F101" i="81"/>
  <c r="G101" i="81" s="1"/>
  <c r="F100" i="81"/>
  <c r="G100" i="81" s="1"/>
  <c r="F98" i="81"/>
  <c r="G98" i="81" s="1"/>
  <c r="F17" i="81"/>
  <c r="G17" i="81" s="1"/>
  <c r="F18" i="81"/>
  <c r="G18" i="81" s="1"/>
  <c r="F19" i="81"/>
  <c r="G19" i="81" s="1"/>
  <c r="F20" i="81"/>
  <c r="G20" i="81" s="1"/>
  <c r="F21" i="81"/>
  <c r="G21" i="81" s="1"/>
  <c r="F16" i="81"/>
  <c r="G16" i="81" s="1"/>
  <c r="H98" i="81" l="1"/>
  <c r="I98" i="81"/>
  <c r="I102" i="81"/>
  <c r="I101" i="81"/>
  <c r="I100" i="81"/>
  <c r="H16" i="81"/>
  <c r="I16" i="81" s="1"/>
  <c r="I99" i="81" l="1"/>
  <c r="I103" i="81"/>
  <c r="I17" i="81"/>
  <c r="I18" i="81"/>
  <c r="I19" i="81"/>
  <c r="I20" i="81"/>
  <c r="I21" i="81"/>
  <c r="E65" i="81" l="1"/>
  <c r="E67" i="81"/>
  <c r="E68" i="81"/>
  <c r="E69" i="81"/>
  <c r="E64" i="81"/>
  <c r="E66" i="81"/>
  <c r="G145" i="81" l="1"/>
  <c r="G148" i="81"/>
  <c r="G144" i="81"/>
  <c r="G147" i="81"/>
  <c r="G146" i="81"/>
  <c r="G149" i="81"/>
  <c r="E71" i="81"/>
  <c r="F65" i="81" s="1"/>
  <c r="G65" i="81" s="1"/>
  <c r="F67" i="81" l="1"/>
  <c r="G67" i="81" s="1"/>
  <c r="F66" i="81"/>
  <c r="G66" i="81" s="1"/>
  <c r="H144" i="81"/>
  <c r="I147" i="81" s="1"/>
  <c r="F69" i="81"/>
  <c r="G69" i="81" s="1"/>
  <c r="F68" i="81"/>
  <c r="G68" i="81" s="1"/>
  <c r="F64" i="81"/>
  <c r="E48" i="81"/>
  <c r="E46" i="81"/>
  <c r="E85" i="81"/>
  <c r="E84" i="81"/>
  <c r="E83" i="81"/>
  <c r="E82" i="81"/>
  <c r="E81" i="81"/>
  <c r="E80" i="81"/>
  <c r="E88" i="81" s="1"/>
  <c r="E35" i="81"/>
  <c r="E34" i="81"/>
  <c r="E33" i="81"/>
  <c r="E32" i="81"/>
  <c r="E31" i="81"/>
  <c r="E30" i="81"/>
  <c r="I144" i="81" l="1"/>
  <c r="I145" i="81"/>
  <c r="I148" i="81"/>
  <c r="I149" i="81"/>
  <c r="I146" i="81"/>
  <c r="E53" i="81"/>
  <c r="F80" i="81"/>
  <c r="G80" i="81" s="1"/>
  <c r="F48" i="81"/>
  <c r="E37" i="81"/>
  <c r="F32" i="81" s="1"/>
  <c r="G32" i="81" s="1"/>
  <c r="F82" i="81" l="1"/>
  <c r="G82" i="81" s="1"/>
  <c r="F84" i="81"/>
  <c r="G84" i="81" s="1"/>
  <c r="F81" i="81"/>
  <c r="G81" i="81" s="1"/>
  <c r="F85" i="81"/>
  <c r="G85" i="81" s="1"/>
  <c r="F83" i="81"/>
  <c r="G83" i="81" s="1"/>
  <c r="F34" i="81"/>
  <c r="G34" i="81" s="1"/>
  <c r="F35" i="81"/>
  <c r="G35" i="81" s="1"/>
  <c r="F30" i="81"/>
  <c r="G30" i="81" s="1"/>
  <c r="F33" i="81"/>
  <c r="G33" i="81" s="1"/>
  <c r="F31" i="81"/>
  <c r="G31" i="81" s="1"/>
  <c r="F51" i="81"/>
  <c r="G51" i="81" s="1"/>
  <c r="F50" i="81"/>
  <c r="G50" i="81" s="1"/>
  <c r="F47" i="81"/>
  <c r="G47" i="81" s="1"/>
  <c r="F49" i="81"/>
  <c r="G49" i="81" s="1"/>
  <c r="F46" i="81"/>
  <c r="G46" i="81" s="1"/>
  <c r="G48" i="81"/>
  <c r="H80" i="81" l="1"/>
  <c r="H30" i="81"/>
  <c r="I84" i="81"/>
  <c r="I83" i="81"/>
  <c r="H46" i="81"/>
  <c r="I46" i="81" s="1"/>
  <c r="I32" i="81"/>
  <c r="I35" i="81"/>
  <c r="I34" i="81"/>
  <c r="I30" i="81"/>
  <c r="I31" i="81"/>
  <c r="I33" i="81"/>
  <c r="M5" i="31"/>
  <c r="N5" i="31"/>
  <c r="O5" i="31"/>
  <c r="P5" i="31"/>
  <c r="Q5" i="31"/>
  <c r="L5" i="31"/>
  <c r="R5" i="31"/>
  <c r="M4" i="31"/>
  <c r="N4" i="31"/>
  <c r="O4" i="31"/>
  <c r="P4" i="31"/>
  <c r="Q4" i="31"/>
  <c r="L4" i="31"/>
  <c r="Q17" i="79"/>
  <c r="Z12" i="79"/>
  <c r="Y12" i="79" s="1"/>
  <c r="Z11" i="79"/>
  <c r="Y11" i="79" s="1"/>
  <c r="Z5" i="79"/>
  <c r="Y5" i="79" s="1"/>
  <c r="T5" i="79"/>
  <c r="S5" i="79"/>
  <c r="R5" i="79"/>
  <c r="Q5" i="79"/>
  <c r="Z4" i="79"/>
  <c r="X4" i="79" s="1"/>
  <c r="I82" i="81" l="1"/>
  <c r="I85" i="81"/>
  <c r="I81" i="81"/>
  <c r="I80" i="81"/>
  <c r="I51" i="81"/>
  <c r="I49" i="81"/>
  <c r="I50" i="81"/>
  <c r="I48" i="81"/>
  <c r="I47" i="81"/>
  <c r="U5" i="79"/>
  <c r="Y4" i="79"/>
  <c r="Y6" i="79"/>
  <c r="V5" i="79"/>
  <c r="W5" i="79"/>
  <c r="X5" i="79"/>
  <c r="X6" i="79" s="1"/>
  <c r="U11" i="79"/>
  <c r="Q4" i="79"/>
  <c r="Q6" i="79" s="1"/>
  <c r="Q11" i="79"/>
  <c r="R4" i="79"/>
  <c r="R6" i="79" s="1"/>
  <c r="R11" i="79"/>
  <c r="S4" i="79"/>
  <c r="S6" i="79" s="1"/>
  <c r="S11" i="79"/>
  <c r="T4" i="79"/>
  <c r="T6" i="79" s="1"/>
  <c r="T11" i="79"/>
  <c r="U4" i="79"/>
  <c r="U6" i="79" s="1"/>
  <c r="V4" i="79"/>
  <c r="V11" i="79"/>
  <c r="W4" i="79"/>
  <c r="W11" i="79"/>
  <c r="X11" i="79"/>
  <c r="Y17" i="79"/>
  <c r="Y13" i="79"/>
  <c r="R12" i="79"/>
  <c r="S12" i="79"/>
  <c r="T12" i="79"/>
  <c r="U12" i="79"/>
  <c r="V12" i="79"/>
  <c r="Q12" i="79"/>
  <c r="W12" i="79"/>
  <c r="X12" i="79"/>
  <c r="W6" i="79" l="1"/>
  <c r="V6" i="79"/>
  <c r="T17" i="79"/>
  <c r="T13" i="79"/>
  <c r="X17" i="79"/>
  <c r="X13" i="79"/>
  <c r="W17" i="79"/>
  <c r="W13" i="79"/>
  <c r="Q13" i="79"/>
  <c r="V17" i="79"/>
  <c r="V13" i="79"/>
  <c r="U17" i="79"/>
  <c r="U13" i="79"/>
  <c r="S17" i="79"/>
  <c r="S13" i="79"/>
  <c r="R17" i="79"/>
  <c r="R13" i="79"/>
  <c r="R7" i="78"/>
  <c r="L8" i="78"/>
  <c r="L7" i="78"/>
  <c r="R6" i="78"/>
  <c r="Q6" i="78"/>
  <c r="P6" i="78"/>
  <c r="O6" i="78"/>
  <c r="N6" i="78"/>
  <c r="M6" i="78"/>
  <c r="L6" i="78"/>
  <c r="N7" i="78" l="1"/>
  <c r="N8" i="78" s="1"/>
  <c r="O7" i="78" l="1"/>
  <c r="O8" i="78" s="1"/>
  <c r="M7" i="78"/>
  <c r="M8" i="78" s="1"/>
  <c r="Q7" i="78"/>
  <c r="Q8" i="78" s="1"/>
  <c r="P7" i="78"/>
  <c r="P8" i="78" s="1"/>
  <c r="L6" i="76" l="1"/>
  <c r="M6" i="76"/>
  <c r="N6" i="76"/>
  <c r="O6" i="76"/>
  <c r="P6" i="76"/>
  <c r="K6" i="76"/>
  <c r="L5" i="76"/>
  <c r="M5" i="76"/>
  <c r="N5" i="76"/>
  <c r="O5" i="76"/>
  <c r="P5" i="76"/>
  <c r="K5" i="76"/>
  <c r="Q5" i="76"/>
  <c r="Q6" i="76"/>
  <c r="K4" i="76"/>
  <c r="Q4" i="76"/>
  <c r="N4" i="76" s="1"/>
  <c r="O4" i="76" l="1"/>
  <c r="P4" i="76"/>
  <c r="L4" i="76"/>
  <c r="M4" i="76"/>
  <c r="R7" i="74"/>
  <c r="M7" i="74" s="1"/>
  <c r="R6" i="74"/>
  <c r="N6" i="74" s="1"/>
  <c r="AB35" i="73"/>
  <c r="AB36" i="73"/>
  <c r="AB37" i="73"/>
  <c r="AB38" i="73"/>
  <c r="AB39" i="73"/>
  <c r="AB34" i="73"/>
  <c r="AA39" i="73"/>
  <c r="AA38" i="73"/>
  <c r="AC38" i="73" s="1"/>
  <c r="AD38" i="73" s="1"/>
  <c r="AE38" i="73" s="1"/>
  <c r="AF38" i="73" s="1"/>
  <c r="AC37" i="73"/>
  <c r="AD37" i="73" s="1"/>
  <c r="AE37" i="73" s="1"/>
  <c r="AF37" i="73" s="1"/>
  <c r="AA37" i="73"/>
  <c r="AA36" i="73"/>
  <c r="AC36" i="73" s="1"/>
  <c r="AD36" i="73" s="1"/>
  <c r="AE36" i="73" s="1"/>
  <c r="AF36" i="73" s="1"/>
  <c r="AA35" i="73"/>
  <c r="AC35" i="73" s="1"/>
  <c r="AD35" i="73" s="1"/>
  <c r="AE35" i="73" s="1"/>
  <c r="AF35" i="73" s="1"/>
  <c r="AA34" i="73"/>
  <c r="AM32" i="73"/>
  <c r="AN32" i="73" s="1"/>
  <c r="AM31" i="73"/>
  <c r="AN31" i="73" s="1"/>
  <c r="AN30" i="73"/>
  <c r="AM30" i="73"/>
  <c r="AM29" i="73"/>
  <c r="AN29" i="73" s="1"/>
  <c r="AM28" i="73"/>
  <c r="AN28" i="73" s="1"/>
  <c r="AM27" i="73"/>
  <c r="AN27" i="73" s="1"/>
  <c r="AM26" i="73"/>
  <c r="AM25" i="73"/>
  <c r="AL25" i="73"/>
  <c r="AL26" i="73" s="1"/>
  <c r="AL27" i="73" s="1"/>
  <c r="AL28" i="73" s="1"/>
  <c r="AL29" i="73" s="1"/>
  <c r="AL30" i="73" s="1"/>
  <c r="AL31" i="73" s="1"/>
  <c r="AN24" i="73"/>
  <c r="AM24" i="73"/>
  <c r="D30" i="73"/>
  <c r="D29" i="73"/>
  <c r="D28" i="73"/>
  <c r="E28" i="73" s="1"/>
  <c r="F28" i="73" s="1"/>
  <c r="H28" i="73" s="1"/>
  <c r="D27" i="73"/>
  <c r="E27" i="73" s="1"/>
  <c r="F27" i="73" s="1"/>
  <c r="H27" i="73" s="1"/>
  <c r="D26" i="73"/>
  <c r="E26" i="73" s="1"/>
  <c r="F26" i="73" s="1"/>
  <c r="H26" i="73" s="1"/>
  <c r="D25" i="73"/>
  <c r="E25" i="73" s="1"/>
  <c r="F25" i="73" s="1"/>
  <c r="H25" i="73" s="1"/>
  <c r="Q21" i="73"/>
  <c r="E30" i="73" s="1"/>
  <c r="F30" i="73" s="1"/>
  <c r="H30" i="73" s="1"/>
  <c r="Q20" i="73"/>
  <c r="R20" i="73" s="1"/>
  <c r="Q19" i="73"/>
  <c r="Q18" i="73"/>
  <c r="R18" i="73" s="1"/>
  <c r="Q17" i="73"/>
  <c r="R17" i="73" s="1"/>
  <c r="Q16" i="73"/>
  <c r="R16" i="73" s="1"/>
  <c r="AL25" i="69"/>
  <c r="G28" i="69"/>
  <c r="M25" i="69"/>
  <c r="L7" i="74" l="1"/>
  <c r="L6" i="74"/>
  <c r="Q7" i="74"/>
  <c r="Q6" i="74"/>
  <c r="P7" i="74"/>
  <c r="P6" i="74"/>
  <c r="O7" i="74"/>
  <c r="M6" i="74"/>
  <c r="O6" i="74"/>
  <c r="N7" i="74"/>
  <c r="AC39" i="73"/>
  <c r="AD39" i="73" s="1"/>
  <c r="AE39" i="73" s="1"/>
  <c r="AF39" i="73" s="1"/>
  <c r="AC34" i="73"/>
  <c r="AD34" i="73" s="1"/>
  <c r="AE34" i="73" s="1"/>
  <c r="AF34" i="73" s="1"/>
  <c r="I25" i="73"/>
  <c r="J28" i="73" s="1"/>
  <c r="E29" i="73"/>
  <c r="F29" i="73" s="1"/>
  <c r="H29" i="73" s="1"/>
  <c r="R19" i="73"/>
  <c r="R21" i="73"/>
  <c r="D58" i="72"/>
  <c r="E58" i="72" s="1"/>
  <c r="F58" i="72" s="1"/>
  <c r="D60" i="72"/>
  <c r="E60" i="72" s="1"/>
  <c r="F60" i="72" s="1"/>
  <c r="D59" i="72"/>
  <c r="E59" i="72" s="1"/>
  <c r="F59" i="72" s="1"/>
  <c r="Q52" i="72"/>
  <c r="R52" i="72" s="1"/>
  <c r="Q51" i="72"/>
  <c r="R51" i="72" s="1"/>
  <c r="Q50" i="72"/>
  <c r="R50" i="72" s="1"/>
  <c r="Q49" i="72"/>
  <c r="R49" i="72" s="1"/>
  <c r="Q48" i="72"/>
  <c r="R48" i="72" s="1"/>
  <c r="K22" i="72"/>
  <c r="J22" i="72"/>
  <c r="I22" i="72"/>
  <c r="H22" i="72"/>
  <c r="K21" i="72"/>
  <c r="J21" i="72"/>
  <c r="I21" i="72"/>
  <c r="H21" i="72"/>
  <c r="S20" i="72"/>
  <c r="K20" i="72"/>
  <c r="J20" i="72"/>
  <c r="I20" i="72"/>
  <c r="H20" i="72"/>
  <c r="S19" i="72"/>
  <c r="K19" i="72"/>
  <c r="J19" i="72"/>
  <c r="I19" i="72"/>
  <c r="H19" i="72"/>
  <c r="Q19" i="72" s="1"/>
  <c r="S18" i="72"/>
  <c r="K18" i="72"/>
  <c r="J18" i="72"/>
  <c r="D29" i="72" s="1"/>
  <c r="E29" i="72" s="1"/>
  <c r="F29" i="72" s="1"/>
  <c r="G29" i="72" s="1"/>
  <c r="I18" i="72"/>
  <c r="H18" i="72"/>
  <c r="S17" i="72"/>
  <c r="K17" i="72"/>
  <c r="J17" i="72"/>
  <c r="D28" i="72" s="1"/>
  <c r="E28" i="72" s="1"/>
  <c r="F28" i="72" s="1"/>
  <c r="G28" i="72" s="1"/>
  <c r="I17" i="72"/>
  <c r="H17" i="72"/>
  <c r="S16" i="72"/>
  <c r="K16" i="72"/>
  <c r="J16" i="72"/>
  <c r="D27" i="72" s="1"/>
  <c r="E27" i="72" s="1"/>
  <c r="F27" i="72" s="1"/>
  <c r="G27" i="72" s="1"/>
  <c r="I16" i="72"/>
  <c r="H16" i="72"/>
  <c r="Q16" i="72" s="1"/>
  <c r="S15" i="72"/>
  <c r="K15" i="72"/>
  <c r="J15" i="72"/>
  <c r="I15" i="72"/>
  <c r="H15" i="72"/>
  <c r="Q15" i="72" s="1"/>
  <c r="J27" i="73" l="1"/>
  <c r="J30" i="73"/>
  <c r="J26" i="73"/>
  <c r="J29" i="73"/>
  <c r="J25" i="73"/>
  <c r="Q18" i="72"/>
  <c r="D26" i="72"/>
  <c r="E26" i="72" s="1"/>
  <c r="F26" i="72" s="1"/>
  <c r="G26" i="72" s="1"/>
  <c r="Q17" i="72"/>
  <c r="R17" i="72" s="1"/>
  <c r="F64" i="72"/>
  <c r="F63" i="72"/>
  <c r="Q20" i="72"/>
  <c r="R20" i="72" s="1"/>
  <c r="H26" i="72"/>
  <c r="I26" i="72"/>
  <c r="AA27" i="69"/>
  <c r="Z37" i="69"/>
  <c r="AA37" i="69" s="1"/>
  <c r="AB37" i="69" s="1"/>
  <c r="AC37" i="69" s="1"/>
  <c r="AD37" i="69" s="1"/>
  <c r="AE37" i="69" s="1"/>
  <c r="Z36" i="69"/>
  <c r="AA36" i="69" s="1"/>
  <c r="AB36" i="69" s="1"/>
  <c r="AC36" i="69" s="1"/>
  <c r="AD36" i="69" s="1"/>
  <c r="AE36" i="69" s="1"/>
  <c r="AA35" i="69"/>
  <c r="AB35" i="69" s="1"/>
  <c r="AC35" i="69" s="1"/>
  <c r="AD35" i="69" s="1"/>
  <c r="AE35" i="69" s="1"/>
  <c r="Z35" i="69"/>
  <c r="Z34" i="69"/>
  <c r="AA34" i="69" s="1"/>
  <c r="AB34" i="69" s="1"/>
  <c r="AC34" i="69" s="1"/>
  <c r="AD34" i="69" s="1"/>
  <c r="AE34" i="69" s="1"/>
  <c r="Z33" i="69"/>
  <c r="AA33" i="69" s="1"/>
  <c r="AB33" i="69" s="1"/>
  <c r="AC33" i="69" s="1"/>
  <c r="AD33" i="69" s="1"/>
  <c r="AE33" i="69" s="1"/>
  <c r="Z32" i="69"/>
  <c r="AA32" i="69" s="1"/>
  <c r="AB32" i="69" s="1"/>
  <c r="AC32" i="69" s="1"/>
  <c r="AD32" i="69" s="1"/>
  <c r="AE32" i="69" s="1"/>
  <c r="AA31" i="69"/>
  <c r="AB31" i="69" s="1"/>
  <c r="AC31" i="69" s="1"/>
  <c r="AD31" i="69" s="1"/>
  <c r="AE31" i="69" s="1"/>
  <c r="Z31" i="69"/>
  <c r="Z30" i="69"/>
  <c r="AA30" i="69" s="1"/>
  <c r="AB30" i="69" s="1"/>
  <c r="AC30" i="69" s="1"/>
  <c r="AD30" i="69" s="1"/>
  <c r="AE30" i="69" s="1"/>
  <c r="Z29" i="69"/>
  <c r="AA29" i="69" s="1"/>
  <c r="AB29" i="69" s="1"/>
  <c r="AC29" i="69" s="1"/>
  <c r="AD29" i="69" s="1"/>
  <c r="AE29" i="69" s="1"/>
  <c r="Z28" i="69"/>
  <c r="AA28" i="69" s="1"/>
  <c r="AB28" i="69" s="1"/>
  <c r="AC28" i="69" s="1"/>
  <c r="AD28" i="69" s="1"/>
  <c r="AE28" i="69" s="1"/>
  <c r="AB27" i="69"/>
  <c r="AC27" i="69" s="1"/>
  <c r="AD27" i="69" s="1"/>
  <c r="AE27" i="69" s="1"/>
  <c r="Z27" i="69"/>
  <c r="AM25" i="69"/>
  <c r="AL24" i="69"/>
  <c r="AM24" i="69" s="1"/>
  <c r="AL23" i="69"/>
  <c r="AM23" i="69" s="1"/>
  <c r="AL22" i="69"/>
  <c r="AM22" i="69" s="1"/>
  <c r="AM21" i="69"/>
  <c r="AL21" i="69"/>
  <c r="AM20" i="69"/>
  <c r="AL20" i="69"/>
  <c r="AL19" i="69"/>
  <c r="AM19" i="69" s="1"/>
  <c r="AK19" i="69"/>
  <c r="AK20" i="69" s="1"/>
  <c r="AK21" i="69" s="1"/>
  <c r="AK22" i="69" s="1"/>
  <c r="AK23" i="69" s="1"/>
  <c r="AK24" i="69" s="1"/>
  <c r="AL18" i="69"/>
  <c r="AM18" i="69" s="1"/>
  <c r="AK18" i="69"/>
  <c r="AM17" i="69"/>
  <c r="AL17" i="69"/>
  <c r="D44" i="69"/>
  <c r="E44" i="69" s="1"/>
  <c r="F44" i="69" s="1"/>
  <c r="H44" i="69" s="1"/>
  <c r="E37" i="69"/>
  <c r="F37" i="69" s="1"/>
  <c r="H37" i="69" s="1"/>
  <c r="E36" i="69"/>
  <c r="F36" i="69" s="1"/>
  <c r="H36" i="69" s="1"/>
  <c r="E35" i="69"/>
  <c r="F35" i="69" s="1"/>
  <c r="H35" i="69" s="1"/>
  <c r="H32" i="69"/>
  <c r="G32" i="69"/>
  <c r="M29" i="69" s="1"/>
  <c r="F32" i="69"/>
  <c r="D32" i="69"/>
  <c r="H31" i="69"/>
  <c r="G31" i="69"/>
  <c r="F31" i="69"/>
  <c r="D31" i="69"/>
  <c r="H30" i="69"/>
  <c r="G30" i="69"/>
  <c r="M27" i="69" s="1"/>
  <c r="F30" i="69"/>
  <c r="D30" i="69"/>
  <c r="D41" i="69" s="1"/>
  <c r="E41" i="69" s="1"/>
  <c r="F41" i="69" s="1"/>
  <c r="H41" i="69" s="1"/>
  <c r="H29" i="69"/>
  <c r="G29" i="69"/>
  <c r="M26" i="69" s="1"/>
  <c r="F29" i="69"/>
  <c r="D29" i="69"/>
  <c r="D40" i="69" s="1"/>
  <c r="E40" i="69" s="1"/>
  <c r="F40" i="69" s="1"/>
  <c r="H40" i="69" s="1"/>
  <c r="M28" i="69"/>
  <c r="H28" i="69"/>
  <c r="F28" i="69"/>
  <c r="D28" i="69"/>
  <c r="D39" i="69" s="1"/>
  <c r="E39" i="69" s="1"/>
  <c r="F39" i="69" s="1"/>
  <c r="H39" i="69" s="1"/>
  <c r="H27" i="69"/>
  <c r="G27" i="69"/>
  <c r="D46" i="69" s="1"/>
  <c r="E46" i="69" s="1"/>
  <c r="F46" i="69" s="1"/>
  <c r="H46" i="69" s="1"/>
  <c r="F27" i="69"/>
  <c r="D27" i="69"/>
  <c r="C27" i="69"/>
  <c r="H26" i="69"/>
  <c r="G26" i="69"/>
  <c r="D45" i="69" s="1"/>
  <c r="E45" i="69" s="1"/>
  <c r="F45" i="69" s="1"/>
  <c r="H45" i="69" s="1"/>
  <c r="F26" i="69"/>
  <c r="D26" i="69"/>
  <c r="C26" i="69"/>
  <c r="J25" i="69"/>
  <c r="I25" i="69"/>
  <c r="H25" i="69"/>
  <c r="G25" i="69"/>
  <c r="F25" i="69"/>
  <c r="D25" i="69"/>
  <c r="C25" i="69"/>
  <c r="D39" i="67"/>
  <c r="D30" i="67"/>
  <c r="E30" i="67" s="1"/>
  <c r="F30" i="67" s="1"/>
  <c r="G30" i="67" s="1"/>
  <c r="D29" i="67"/>
  <c r="E29" i="67" s="1"/>
  <c r="F29" i="67" s="1"/>
  <c r="G29" i="67" s="1"/>
  <c r="D28" i="67"/>
  <c r="D31" i="67"/>
  <c r="E31" i="67" s="1"/>
  <c r="F31" i="67" s="1"/>
  <c r="G31" i="67" s="1"/>
  <c r="D34" i="67"/>
  <c r="E34" i="67" s="1"/>
  <c r="F34" i="67" s="1"/>
  <c r="G34" i="67" s="1"/>
  <c r="D26" i="67"/>
  <c r="E26" i="67" s="1"/>
  <c r="F26" i="67" s="1"/>
  <c r="G26" i="67" s="1"/>
  <c r="D25" i="67"/>
  <c r="E25" i="67" s="1"/>
  <c r="D40" i="67"/>
  <c r="D36" i="67"/>
  <c r="E36" i="67" s="1"/>
  <c r="F36" i="67" s="1"/>
  <c r="G36" i="67" s="1"/>
  <c r="D35" i="67"/>
  <c r="E35" i="67" s="1"/>
  <c r="F35" i="67" s="1"/>
  <c r="G35" i="67" s="1"/>
  <c r="D33" i="67"/>
  <c r="E33" i="67" s="1"/>
  <c r="F33" i="67" s="1"/>
  <c r="G33" i="67" s="1"/>
  <c r="D32" i="67"/>
  <c r="E32" i="67" s="1"/>
  <c r="F32" i="67" s="1"/>
  <c r="G32" i="67" s="1"/>
  <c r="D27" i="67"/>
  <c r="E27" i="67" s="1"/>
  <c r="F27" i="67" s="1"/>
  <c r="G27" i="67" s="1"/>
  <c r="I79" i="57"/>
  <c r="I78" i="57"/>
  <c r="I77" i="57"/>
  <c r="I75" i="57"/>
  <c r="I74" i="57"/>
  <c r="I73" i="57"/>
  <c r="I72" i="57"/>
  <c r="I71" i="57"/>
  <c r="I70" i="57"/>
  <c r="I69" i="57"/>
  <c r="I68" i="57"/>
  <c r="I66" i="57"/>
  <c r="I65" i="57"/>
  <c r="I64" i="57"/>
  <c r="I63" i="57"/>
  <c r="I62" i="57"/>
  <c r="I61" i="57"/>
  <c r="I58" i="57"/>
  <c r="I55" i="57"/>
  <c r="I54" i="57"/>
  <c r="I53" i="57"/>
  <c r="I51" i="57"/>
  <c r="I49" i="57"/>
  <c r="I48" i="57"/>
  <c r="I47" i="57"/>
  <c r="I46" i="57"/>
  <c r="I45" i="57"/>
  <c r="I44" i="57"/>
  <c r="I41" i="57"/>
  <c r="I40" i="57"/>
  <c r="I39" i="57"/>
  <c r="I38" i="57"/>
  <c r="I37" i="57"/>
  <c r="I36" i="57"/>
  <c r="I35" i="57"/>
  <c r="I33" i="57"/>
  <c r="I32" i="57"/>
  <c r="I31" i="57"/>
  <c r="I30" i="57"/>
  <c r="I29" i="57"/>
  <c r="I28" i="57"/>
  <c r="I27" i="57"/>
  <c r="I26" i="57"/>
  <c r="I25" i="57"/>
  <c r="I24" i="57"/>
  <c r="I23" i="57"/>
  <c r="I22" i="57"/>
  <c r="I21" i="57"/>
  <c r="I20" i="57"/>
  <c r="I19" i="57"/>
  <c r="I18" i="57"/>
  <c r="I17" i="57"/>
  <c r="I16" i="57"/>
  <c r="I15" i="57"/>
  <c r="I14" i="57"/>
  <c r="I13" i="57"/>
  <c r="I12" i="57"/>
  <c r="I11" i="57"/>
  <c r="I10" i="57"/>
  <c r="I9" i="57"/>
  <c r="I8" i="57"/>
  <c r="I7" i="57"/>
  <c r="I6" i="57"/>
  <c r="K78" i="56"/>
  <c r="M78" i="56" s="1"/>
  <c r="F78" i="56"/>
  <c r="K77" i="56"/>
  <c r="M77" i="56" s="1"/>
  <c r="F77" i="56"/>
  <c r="K76" i="56"/>
  <c r="M76" i="56" s="1"/>
  <c r="F76" i="56"/>
  <c r="F75" i="56"/>
  <c r="K74" i="56"/>
  <c r="M74" i="56" s="1"/>
  <c r="F74" i="56"/>
  <c r="K73" i="56"/>
  <c r="M73" i="56" s="1"/>
  <c r="F73" i="56"/>
  <c r="K72" i="56"/>
  <c r="M72" i="56" s="1"/>
  <c r="F72" i="56"/>
  <c r="K71" i="56"/>
  <c r="M71" i="56" s="1"/>
  <c r="F71" i="56"/>
  <c r="K70" i="56"/>
  <c r="M70" i="56" s="1"/>
  <c r="F70" i="56"/>
  <c r="K69" i="56"/>
  <c r="M69" i="56" s="1"/>
  <c r="F69" i="56"/>
  <c r="K68" i="56"/>
  <c r="M68" i="56" s="1"/>
  <c r="F68" i="56"/>
  <c r="K67" i="56"/>
  <c r="M67" i="56" s="1"/>
  <c r="F67" i="56"/>
  <c r="K66" i="56"/>
  <c r="M66" i="56" s="1"/>
  <c r="F66" i="56"/>
  <c r="K65" i="56"/>
  <c r="F65" i="56"/>
  <c r="K64" i="56"/>
  <c r="M64" i="56" s="1"/>
  <c r="F64" i="56"/>
  <c r="K63" i="56"/>
  <c r="M63" i="56" s="1"/>
  <c r="F63" i="56"/>
  <c r="K62" i="56"/>
  <c r="F62" i="56"/>
  <c r="K61" i="56"/>
  <c r="M61" i="56" s="1"/>
  <c r="F61" i="56"/>
  <c r="K60" i="56"/>
  <c r="F60" i="56"/>
  <c r="K59" i="56"/>
  <c r="M59" i="56" s="1"/>
  <c r="F59" i="56"/>
  <c r="F58" i="56"/>
  <c r="K57" i="56"/>
  <c r="M57" i="56" s="1"/>
  <c r="F57" i="56"/>
  <c r="K56" i="56"/>
  <c r="F56" i="56"/>
  <c r="K55" i="56"/>
  <c r="M55" i="56" s="1"/>
  <c r="F55" i="56"/>
  <c r="K54" i="56"/>
  <c r="M54" i="56" s="1"/>
  <c r="F54" i="56"/>
  <c r="K53" i="56"/>
  <c r="F53" i="56"/>
  <c r="K52" i="56"/>
  <c r="M52" i="56" s="1"/>
  <c r="F52" i="56"/>
  <c r="K51" i="56"/>
  <c r="M51" i="56" s="1"/>
  <c r="F51" i="56"/>
  <c r="K50" i="56"/>
  <c r="M50" i="56" s="1"/>
  <c r="F50" i="56"/>
  <c r="K49" i="56"/>
  <c r="M49" i="56" s="1"/>
  <c r="F49" i="56"/>
  <c r="K48" i="56"/>
  <c r="M48" i="56" s="1"/>
  <c r="F48" i="56"/>
  <c r="K47" i="56"/>
  <c r="M47" i="56" s="1"/>
  <c r="F47" i="56"/>
  <c r="K46" i="56"/>
  <c r="M46" i="56" s="1"/>
  <c r="F46" i="56"/>
  <c r="K45" i="56"/>
  <c r="F45" i="56"/>
  <c r="K44" i="56"/>
  <c r="M44" i="56" s="1"/>
  <c r="F44" i="56"/>
  <c r="K43" i="56"/>
  <c r="M43" i="56" s="1"/>
  <c r="F43" i="56"/>
  <c r="K40" i="56"/>
  <c r="M40" i="56" s="1"/>
  <c r="F40" i="56"/>
  <c r="K39" i="56"/>
  <c r="M39" i="56" s="1"/>
  <c r="F39" i="56"/>
  <c r="K38" i="56"/>
  <c r="F38" i="56"/>
  <c r="K37" i="56"/>
  <c r="M37" i="56" s="1"/>
  <c r="F37" i="56"/>
  <c r="K36" i="56"/>
  <c r="M36" i="56" s="1"/>
  <c r="F36" i="56"/>
  <c r="K35" i="56"/>
  <c r="M35" i="56" s="1"/>
  <c r="F35" i="56"/>
  <c r="K34" i="56"/>
  <c r="M34" i="56" s="1"/>
  <c r="F34" i="56"/>
  <c r="K32" i="56"/>
  <c r="F32" i="56"/>
  <c r="K31" i="56"/>
  <c r="M31" i="56" s="1"/>
  <c r="F31" i="56"/>
  <c r="K30" i="56"/>
  <c r="M30" i="56" s="1"/>
  <c r="F30" i="56"/>
  <c r="K29" i="56"/>
  <c r="F29" i="56"/>
  <c r="K28" i="56"/>
  <c r="F28" i="56"/>
  <c r="K27" i="56"/>
  <c r="M27" i="56" s="1"/>
  <c r="F27" i="56"/>
  <c r="K26" i="56"/>
  <c r="F26" i="56"/>
  <c r="K25" i="56"/>
  <c r="F25" i="56"/>
  <c r="K24" i="56"/>
  <c r="F24" i="56"/>
  <c r="K23" i="56"/>
  <c r="M23" i="56" s="1"/>
  <c r="F23" i="56"/>
  <c r="K22" i="56"/>
  <c r="F22" i="56"/>
  <c r="K21" i="56"/>
  <c r="F21" i="56"/>
  <c r="K20" i="56"/>
  <c r="M20" i="56" s="1"/>
  <c r="F20" i="56"/>
  <c r="K19" i="56"/>
  <c r="F19" i="56"/>
  <c r="K18" i="56"/>
  <c r="M18" i="56" s="1"/>
  <c r="F18" i="56"/>
  <c r="K17" i="56"/>
  <c r="M17" i="56" s="1"/>
  <c r="F17" i="56"/>
  <c r="K16" i="56"/>
  <c r="F16" i="56"/>
  <c r="K15" i="56"/>
  <c r="M15" i="56" s="1"/>
  <c r="F15" i="56"/>
  <c r="K14" i="56"/>
  <c r="M14" i="56" s="1"/>
  <c r="F14" i="56"/>
  <c r="K13" i="56"/>
  <c r="M13" i="56" s="1"/>
  <c r="F13" i="56"/>
  <c r="K12" i="56"/>
  <c r="M12" i="56" s="1"/>
  <c r="F12" i="56"/>
  <c r="K11" i="56"/>
  <c r="F11" i="56"/>
  <c r="K10" i="56"/>
  <c r="M10" i="56" s="1"/>
  <c r="F10" i="56"/>
  <c r="K9" i="56"/>
  <c r="M9" i="56" s="1"/>
  <c r="F9" i="56"/>
  <c r="K8" i="56"/>
  <c r="F8" i="56"/>
  <c r="K7" i="56"/>
  <c r="F7" i="56"/>
  <c r="K6" i="56"/>
  <c r="F6" i="56"/>
  <c r="K5" i="56"/>
  <c r="M5" i="56" s="1"/>
  <c r="F5" i="56"/>
  <c r="P111" i="55"/>
  <c r="F111" i="55"/>
  <c r="G111" i="55" s="1"/>
  <c r="H111" i="55" s="1"/>
  <c r="L111" i="55" s="1"/>
  <c r="P110" i="55"/>
  <c r="G110" i="55"/>
  <c r="H110" i="55" s="1"/>
  <c r="L110" i="55" s="1"/>
  <c r="F110" i="55"/>
  <c r="P109" i="55"/>
  <c r="H109" i="55"/>
  <c r="L109" i="55" s="1"/>
  <c r="G109" i="55"/>
  <c r="F109" i="55"/>
  <c r="P107" i="55"/>
  <c r="F107" i="55"/>
  <c r="G107" i="55" s="1"/>
  <c r="H107" i="55" s="1"/>
  <c r="L107" i="55" s="1"/>
  <c r="P106" i="55"/>
  <c r="F106" i="55"/>
  <c r="G106" i="55" s="1"/>
  <c r="H106" i="55" s="1"/>
  <c r="L106" i="55" s="1"/>
  <c r="P105" i="55"/>
  <c r="G105" i="55"/>
  <c r="H105" i="55" s="1"/>
  <c r="L105" i="55" s="1"/>
  <c r="F105" i="55"/>
  <c r="P104" i="55"/>
  <c r="H104" i="55"/>
  <c r="L104" i="55" s="1"/>
  <c r="G104" i="55"/>
  <c r="F104" i="55"/>
  <c r="P103" i="55"/>
  <c r="F103" i="55"/>
  <c r="G103" i="55" s="1"/>
  <c r="H103" i="55" s="1"/>
  <c r="L103" i="55" s="1"/>
  <c r="P102" i="55"/>
  <c r="F102" i="55"/>
  <c r="G102" i="55" s="1"/>
  <c r="H102" i="55" s="1"/>
  <c r="L102" i="55" s="1"/>
  <c r="P101" i="55"/>
  <c r="G101" i="55"/>
  <c r="H101" i="55" s="1"/>
  <c r="L101" i="55" s="1"/>
  <c r="F101" i="55"/>
  <c r="P100" i="55"/>
  <c r="H100" i="55"/>
  <c r="L100" i="55" s="1"/>
  <c r="G100" i="55"/>
  <c r="F100" i="55"/>
  <c r="P98" i="55"/>
  <c r="L98" i="55"/>
  <c r="H98" i="55"/>
  <c r="G98" i="55"/>
  <c r="F98" i="55"/>
  <c r="P97" i="55"/>
  <c r="F97" i="55"/>
  <c r="G97" i="55" s="1"/>
  <c r="H97" i="55" s="1"/>
  <c r="L97" i="55" s="1"/>
  <c r="P96" i="55"/>
  <c r="G96" i="55"/>
  <c r="H96" i="55" s="1"/>
  <c r="L96" i="55" s="1"/>
  <c r="F96" i="55"/>
  <c r="P95" i="55"/>
  <c r="H95" i="55"/>
  <c r="L95" i="55" s="1"/>
  <c r="G95" i="55"/>
  <c r="F95" i="55"/>
  <c r="P94" i="55"/>
  <c r="F94" i="55"/>
  <c r="G94" i="55" s="1"/>
  <c r="H94" i="55" s="1"/>
  <c r="L94" i="55" s="1"/>
  <c r="P93" i="55"/>
  <c r="F93" i="55"/>
  <c r="G93" i="55" s="1"/>
  <c r="H93" i="55" s="1"/>
  <c r="L93" i="55" s="1"/>
  <c r="P92" i="55"/>
  <c r="F92" i="55"/>
  <c r="G92" i="55" s="1"/>
  <c r="H92" i="55" s="1"/>
  <c r="P90" i="55"/>
  <c r="G90" i="55"/>
  <c r="H90" i="55" s="1"/>
  <c r="L90" i="55" s="1"/>
  <c r="F90" i="55"/>
  <c r="P87" i="55"/>
  <c r="H87" i="55"/>
  <c r="L87" i="55" s="1"/>
  <c r="G87" i="55"/>
  <c r="F87" i="55"/>
  <c r="P86" i="55"/>
  <c r="F86" i="55"/>
  <c r="G86" i="55" s="1"/>
  <c r="H86" i="55" s="1"/>
  <c r="L86" i="55" s="1"/>
  <c r="P85" i="55"/>
  <c r="F85" i="55"/>
  <c r="G85" i="55" s="1"/>
  <c r="H85" i="55" s="1"/>
  <c r="L85" i="55" s="1"/>
  <c r="P83" i="55"/>
  <c r="G83" i="55"/>
  <c r="H83" i="55" s="1"/>
  <c r="L83" i="55" s="1"/>
  <c r="F83" i="55"/>
  <c r="P81" i="55"/>
  <c r="H81" i="55"/>
  <c r="L81" i="55" s="1"/>
  <c r="G81" i="55"/>
  <c r="F81" i="55"/>
  <c r="P80" i="55"/>
  <c r="L80" i="55"/>
  <c r="H80" i="55"/>
  <c r="G80" i="55"/>
  <c r="F80" i="55"/>
  <c r="P79" i="55"/>
  <c r="F79" i="55"/>
  <c r="G79" i="55" s="1"/>
  <c r="H79" i="55" s="1"/>
  <c r="L79" i="55" s="1"/>
  <c r="P78" i="55"/>
  <c r="G78" i="55"/>
  <c r="H78" i="55" s="1"/>
  <c r="L78" i="55" s="1"/>
  <c r="F78" i="55"/>
  <c r="P77" i="55"/>
  <c r="H77" i="55"/>
  <c r="L77" i="55" s="1"/>
  <c r="G77" i="55"/>
  <c r="F77" i="55"/>
  <c r="P76" i="55"/>
  <c r="F76" i="55"/>
  <c r="G76" i="55" s="1"/>
  <c r="H76" i="55" s="1"/>
  <c r="L76" i="55" s="1"/>
  <c r="S73" i="55"/>
  <c r="R73" i="55" s="1"/>
  <c r="S72" i="55"/>
  <c r="R72" i="55"/>
  <c r="S71" i="55"/>
  <c r="R71" i="55"/>
  <c r="S70" i="55"/>
  <c r="R70" i="55" s="1"/>
  <c r="S69" i="55"/>
  <c r="R69" i="55" s="1"/>
  <c r="S68" i="55"/>
  <c r="R68" i="55"/>
  <c r="S67" i="55"/>
  <c r="R67" i="55" s="1"/>
  <c r="T66" i="55"/>
  <c r="T67" i="55" s="1"/>
  <c r="T68" i="55" s="1"/>
  <c r="T69" i="55" s="1"/>
  <c r="T70" i="55" s="1"/>
  <c r="T71" i="55" s="1"/>
  <c r="T72" i="55" s="1"/>
  <c r="S66" i="55"/>
  <c r="R66" i="55" s="1"/>
  <c r="F59" i="55"/>
  <c r="G59" i="55" s="1"/>
  <c r="F58" i="55"/>
  <c r="G58" i="55" s="1"/>
  <c r="F57" i="55"/>
  <c r="G57" i="55" s="1"/>
  <c r="F56" i="55"/>
  <c r="G56" i="55" s="1"/>
  <c r="F55" i="55"/>
  <c r="G55" i="55" s="1"/>
  <c r="F54" i="55"/>
  <c r="G54" i="55" s="1"/>
  <c r="F53" i="55"/>
  <c r="G53" i="55" s="1"/>
  <c r="K52" i="55"/>
  <c r="G51" i="55"/>
  <c r="K51" i="55" s="1"/>
  <c r="F51" i="55"/>
  <c r="F50" i="55"/>
  <c r="G50" i="55" s="1"/>
  <c r="G49" i="55"/>
  <c r="K49" i="55" s="1"/>
  <c r="F49" i="55"/>
  <c r="F48" i="55"/>
  <c r="G48" i="55" s="1"/>
  <c r="G47" i="55"/>
  <c r="K47" i="55" s="1"/>
  <c r="F47" i="55"/>
  <c r="F46" i="55"/>
  <c r="G46" i="55" s="1"/>
  <c r="G45" i="55"/>
  <c r="K45" i="55" s="1"/>
  <c r="F45" i="55"/>
  <c r="F44" i="55"/>
  <c r="G44" i="55" s="1"/>
  <c r="G43" i="55"/>
  <c r="K43" i="55" s="1"/>
  <c r="F43" i="55"/>
  <c r="F42" i="55"/>
  <c r="G42" i="55" s="1"/>
  <c r="G41" i="55"/>
  <c r="K41" i="55" s="1"/>
  <c r="F41" i="55"/>
  <c r="F40" i="55"/>
  <c r="G40" i="55" s="1"/>
  <c r="G39" i="55"/>
  <c r="K39" i="55" s="1"/>
  <c r="F39" i="55"/>
  <c r="F38" i="55"/>
  <c r="G38" i="55" s="1"/>
  <c r="G37" i="55"/>
  <c r="K37" i="55" s="1"/>
  <c r="F37" i="55"/>
  <c r="F36" i="55"/>
  <c r="G36" i="55" s="1"/>
  <c r="G35" i="55"/>
  <c r="K35" i="55" s="1"/>
  <c r="F35" i="55"/>
  <c r="F34" i="55"/>
  <c r="G34" i="55" s="1"/>
  <c r="G33" i="55"/>
  <c r="K33" i="55" s="1"/>
  <c r="F33" i="55"/>
  <c r="F32" i="55"/>
  <c r="G32" i="55" s="1"/>
  <c r="G31" i="55"/>
  <c r="K31" i="55" s="1"/>
  <c r="F31" i="55"/>
  <c r="F30" i="55"/>
  <c r="G30" i="55" s="1"/>
  <c r="G29" i="55"/>
  <c r="K29" i="55" s="1"/>
  <c r="F29" i="55"/>
  <c r="F28" i="55"/>
  <c r="G28" i="55" s="1"/>
  <c r="G27" i="55"/>
  <c r="K27" i="55" s="1"/>
  <c r="F27" i="55"/>
  <c r="F26" i="55"/>
  <c r="G26" i="55" s="1"/>
  <c r="G25" i="55"/>
  <c r="K25" i="55" s="1"/>
  <c r="F25" i="55"/>
  <c r="F24" i="55"/>
  <c r="G24" i="55" s="1"/>
  <c r="Q19" i="55"/>
  <c r="P19" i="55"/>
  <c r="Q18" i="55"/>
  <c r="P18" i="55"/>
  <c r="P17" i="55"/>
  <c r="Q17" i="55" s="1"/>
  <c r="Q16" i="55"/>
  <c r="P16" i="55"/>
  <c r="O16" i="55"/>
  <c r="O17" i="55" s="1"/>
  <c r="O18" i="55" s="1"/>
  <c r="Q15" i="55"/>
  <c r="P15" i="55"/>
  <c r="O15" i="55"/>
  <c r="G84" i="54"/>
  <c r="F84" i="54"/>
  <c r="H84" i="54" s="1"/>
  <c r="G119" i="54"/>
  <c r="H119" i="54" s="1"/>
  <c r="F119" i="54"/>
  <c r="F118" i="54"/>
  <c r="G118" i="54" s="1"/>
  <c r="H118" i="54" s="1"/>
  <c r="F117" i="54"/>
  <c r="G117" i="54" s="1"/>
  <c r="H117" i="54" s="1"/>
  <c r="H115" i="54"/>
  <c r="G115" i="54"/>
  <c r="F115" i="54"/>
  <c r="G114" i="54"/>
  <c r="H114" i="54" s="1"/>
  <c r="F114" i="54"/>
  <c r="F113" i="54"/>
  <c r="G113" i="54" s="1"/>
  <c r="H113" i="54" s="1"/>
  <c r="F112" i="54"/>
  <c r="G112" i="54" s="1"/>
  <c r="H112" i="54" s="1"/>
  <c r="F111" i="54"/>
  <c r="G111" i="54" s="1"/>
  <c r="H111" i="54" s="1"/>
  <c r="G110" i="54"/>
  <c r="H110" i="54" s="1"/>
  <c r="F110" i="54"/>
  <c r="F109" i="54"/>
  <c r="G109" i="54" s="1"/>
  <c r="H109" i="54" s="1"/>
  <c r="F108" i="54"/>
  <c r="G108" i="54" s="1"/>
  <c r="H108" i="54" s="1"/>
  <c r="H107" i="54"/>
  <c r="G107" i="54"/>
  <c r="F107" i="54"/>
  <c r="G106" i="54"/>
  <c r="H106" i="54" s="1"/>
  <c r="F106" i="54"/>
  <c r="F105" i="54"/>
  <c r="G105" i="54" s="1"/>
  <c r="H105" i="54" s="1"/>
  <c r="F104" i="54"/>
  <c r="G104" i="54" s="1"/>
  <c r="H104" i="54" s="1"/>
  <c r="F103" i="54"/>
  <c r="G103" i="54" s="1"/>
  <c r="H103" i="54" s="1"/>
  <c r="G102" i="54"/>
  <c r="H102" i="54" s="1"/>
  <c r="F102" i="54"/>
  <c r="F101" i="54"/>
  <c r="G101" i="54" s="1"/>
  <c r="H101" i="54" s="1"/>
  <c r="F100" i="54"/>
  <c r="G100" i="54" s="1"/>
  <c r="H100" i="54" s="1"/>
  <c r="H98" i="54"/>
  <c r="G98" i="54"/>
  <c r="F98" i="54"/>
  <c r="G96" i="54"/>
  <c r="H96" i="54" s="1"/>
  <c r="F96" i="54"/>
  <c r="F95" i="54"/>
  <c r="G95" i="54" s="1"/>
  <c r="H95" i="54" s="1"/>
  <c r="F94" i="54"/>
  <c r="G94" i="54" s="1"/>
  <c r="H94" i="54" s="1"/>
  <c r="F93" i="54"/>
  <c r="G93" i="54" s="1"/>
  <c r="H93" i="54" s="1"/>
  <c r="G92" i="54"/>
  <c r="H92" i="54" s="1"/>
  <c r="F92" i="54"/>
  <c r="F91" i="54"/>
  <c r="G91" i="54" s="1"/>
  <c r="H91" i="54" s="1"/>
  <c r="F90" i="54"/>
  <c r="G90" i="54" s="1"/>
  <c r="H90" i="54" s="1"/>
  <c r="H89" i="54"/>
  <c r="G89" i="54"/>
  <c r="F89" i="54"/>
  <c r="G88" i="54"/>
  <c r="H88" i="54" s="1"/>
  <c r="F88" i="54"/>
  <c r="F87" i="54"/>
  <c r="G87" i="54" s="1"/>
  <c r="H87" i="54" s="1"/>
  <c r="F86" i="54"/>
  <c r="G86" i="54" s="1"/>
  <c r="H86" i="54" s="1"/>
  <c r="F85" i="54"/>
  <c r="G85" i="54" s="1"/>
  <c r="H85" i="54" s="1"/>
  <c r="Q80" i="54"/>
  <c r="R80" i="54" s="1"/>
  <c r="Q79" i="54"/>
  <c r="R79" i="54" s="1"/>
  <c r="R78" i="54"/>
  <c r="Q78" i="54"/>
  <c r="Q77" i="54"/>
  <c r="R77" i="54" s="1"/>
  <c r="P77" i="54"/>
  <c r="P78" i="54" s="1"/>
  <c r="P79" i="54" s="1"/>
  <c r="S76" i="54"/>
  <c r="S77" i="54" s="1"/>
  <c r="S78" i="54" s="1"/>
  <c r="S79" i="54" s="1"/>
  <c r="R76" i="54"/>
  <c r="Q76" i="54"/>
  <c r="P76" i="54"/>
  <c r="Q75" i="54"/>
  <c r="E60" i="54"/>
  <c r="F60" i="54" s="1"/>
  <c r="E59" i="54"/>
  <c r="F59" i="54" s="1"/>
  <c r="E58" i="54"/>
  <c r="F58" i="54" s="1"/>
  <c r="E57" i="54"/>
  <c r="F57" i="54" s="1"/>
  <c r="E56" i="54"/>
  <c r="F56" i="54" s="1"/>
  <c r="F55" i="54"/>
  <c r="E55" i="54"/>
  <c r="E54" i="54"/>
  <c r="F54" i="54" s="1"/>
  <c r="E52" i="54"/>
  <c r="F52" i="54" s="1"/>
  <c r="E51" i="54"/>
  <c r="F51" i="54" s="1"/>
  <c r="F50" i="54"/>
  <c r="E50" i="54"/>
  <c r="E49" i="54"/>
  <c r="F49" i="54" s="1"/>
  <c r="E48" i="54"/>
  <c r="F48" i="54" s="1"/>
  <c r="E47" i="54"/>
  <c r="F47" i="54" s="1"/>
  <c r="F46" i="54"/>
  <c r="E46" i="54"/>
  <c r="E45" i="54"/>
  <c r="F45" i="54" s="1"/>
  <c r="E44" i="54"/>
  <c r="F44" i="54" s="1"/>
  <c r="E43" i="54"/>
  <c r="F43" i="54" s="1"/>
  <c r="F42" i="54"/>
  <c r="E42" i="54"/>
  <c r="E41" i="54"/>
  <c r="F41" i="54" s="1"/>
  <c r="E40" i="54"/>
  <c r="F40" i="54" s="1"/>
  <c r="E39" i="54"/>
  <c r="F39" i="54" s="1"/>
  <c r="F38" i="54"/>
  <c r="E38" i="54"/>
  <c r="E37" i="54"/>
  <c r="F37" i="54" s="1"/>
  <c r="E36" i="54"/>
  <c r="F36" i="54" s="1"/>
  <c r="E35" i="54"/>
  <c r="F35" i="54" s="1"/>
  <c r="F34" i="54"/>
  <c r="E34" i="54"/>
  <c r="E33" i="54"/>
  <c r="F33" i="54" s="1"/>
  <c r="E32" i="54"/>
  <c r="F32" i="54" s="1"/>
  <c r="E31" i="54"/>
  <c r="F31" i="54" s="1"/>
  <c r="F30" i="54"/>
  <c r="E30" i="54"/>
  <c r="E29" i="54"/>
  <c r="F29" i="54" s="1"/>
  <c r="E28" i="54"/>
  <c r="F28" i="54" s="1"/>
  <c r="E27" i="54"/>
  <c r="F27" i="54" s="1"/>
  <c r="F26" i="54"/>
  <c r="E26" i="54"/>
  <c r="E25" i="54"/>
  <c r="F25" i="54" s="1"/>
  <c r="Q19" i="54"/>
  <c r="Q18" i="54"/>
  <c r="P18" i="54"/>
  <c r="P17" i="54"/>
  <c r="Q17" i="54" s="1"/>
  <c r="P16" i="54"/>
  <c r="Q16" i="54" s="1"/>
  <c r="R15" i="54"/>
  <c r="P15" i="54"/>
  <c r="Q15" i="54" s="1"/>
  <c r="L8" i="76" l="1"/>
  <c r="P9" i="76"/>
  <c r="R16" i="72"/>
  <c r="R19" i="72"/>
  <c r="R15" i="72"/>
  <c r="R18" i="72"/>
  <c r="D42" i="69"/>
  <c r="E42" i="69" s="1"/>
  <c r="F42" i="69" s="1"/>
  <c r="H42" i="69" s="1"/>
  <c r="M30" i="69"/>
  <c r="N29" i="69" s="1"/>
  <c r="N25" i="69"/>
  <c r="D43" i="69"/>
  <c r="E43" i="69" s="1"/>
  <c r="F43" i="69" s="1"/>
  <c r="H43" i="69" s="1"/>
  <c r="J43" i="69" s="1"/>
  <c r="D38" i="69"/>
  <c r="E38" i="69" s="1"/>
  <c r="F38" i="69" s="1"/>
  <c r="H38" i="69" s="1"/>
  <c r="J45" i="69"/>
  <c r="N27" i="69"/>
  <c r="I35" i="69"/>
  <c r="J42" i="69" s="1"/>
  <c r="J39" i="69"/>
  <c r="J36" i="69"/>
  <c r="J46" i="69"/>
  <c r="N30" i="69"/>
  <c r="N26" i="69"/>
  <c r="J40" i="69"/>
  <c r="J37" i="69"/>
  <c r="J41" i="69"/>
  <c r="N28" i="69"/>
  <c r="J44" i="69"/>
  <c r="E28" i="67"/>
  <c r="F28" i="67" s="1"/>
  <c r="G28" i="67" s="1"/>
  <c r="F25" i="67"/>
  <c r="G25" i="67" s="1"/>
  <c r="M62" i="56"/>
  <c r="M45" i="56"/>
  <c r="M65" i="56"/>
  <c r="M56" i="56"/>
  <c r="M53" i="56"/>
  <c r="M38" i="56"/>
  <c r="M16" i="56"/>
  <c r="M26" i="56"/>
  <c r="M7" i="56"/>
  <c r="M22" i="56"/>
  <c r="M6" i="56"/>
  <c r="M8" i="56"/>
  <c r="M60" i="56"/>
  <c r="F80" i="56"/>
  <c r="M25" i="56"/>
  <c r="M19" i="56"/>
  <c r="M28" i="56"/>
  <c r="M32" i="56"/>
  <c r="M11" i="56"/>
  <c r="M24" i="56"/>
  <c r="M21" i="56"/>
  <c r="M29" i="56"/>
  <c r="K30" i="55"/>
  <c r="I30" i="55"/>
  <c r="K46" i="55"/>
  <c r="I46" i="55"/>
  <c r="K59" i="55"/>
  <c r="I59" i="55"/>
  <c r="K36" i="55"/>
  <c r="I36" i="55"/>
  <c r="K26" i="55"/>
  <c r="I26" i="55"/>
  <c r="K42" i="55"/>
  <c r="I42" i="55"/>
  <c r="K53" i="55"/>
  <c r="I53" i="55"/>
  <c r="K32" i="55"/>
  <c r="I32" i="55"/>
  <c r="K38" i="55"/>
  <c r="I38" i="55"/>
  <c r="K55" i="55"/>
  <c r="I55" i="55"/>
  <c r="K48" i="55"/>
  <c r="I48" i="55"/>
  <c r="K28" i="55"/>
  <c r="I28" i="55"/>
  <c r="K44" i="55"/>
  <c r="I44" i="55"/>
  <c r="I56" i="55"/>
  <c r="K56" i="55"/>
  <c r="K34" i="55"/>
  <c r="I34" i="55"/>
  <c r="K50" i="55"/>
  <c r="I50" i="55"/>
  <c r="K57" i="55"/>
  <c r="I57" i="55"/>
  <c r="I54" i="55"/>
  <c r="K54" i="55"/>
  <c r="I24" i="55"/>
  <c r="K40" i="55"/>
  <c r="I40" i="55"/>
  <c r="K58" i="55"/>
  <c r="I58" i="55"/>
  <c r="I25" i="55"/>
  <c r="I27" i="55"/>
  <c r="I29" i="55"/>
  <c r="I31" i="55"/>
  <c r="I33" i="55"/>
  <c r="I35" i="55"/>
  <c r="I37" i="55"/>
  <c r="I39" i="55"/>
  <c r="I41" i="55"/>
  <c r="I43" i="55"/>
  <c r="I45" i="55"/>
  <c r="I47" i="55"/>
  <c r="I49" i="55"/>
  <c r="I51" i="55"/>
  <c r="O8" i="76" l="1"/>
  <c r="M8" i="76"/>
  <c r="N9" i="76"/>
  <c r="P8" i="76"/>
  <c r="M9" i="76"/>
  <c r="K9" i="76"/>
  <c r="O9" i="76"/>
  <c r="L9" i="76"/>
  <c r="K8" i="76"/>
  <c r="N8" i="76"/>
  <c r="J35" i="69"/>
  <c r="J38" i="69"/>
  <c r="G3" i="52" l="1"/>
  <c r="B16" i="52"/>
  <c r="J14" i="52" s="1"/>
  <c r="J10" i="52" l="1"/>
  <c r="H3" i="52"/>
  <c r="I3" i="52"/>
  <c r="I7" i="52"/>
  <c r="J7" i="52"/>
  <c r="G4" i="52"/>
  <c r="G6" i="52"/>
  <c r="G8" i="52"/>
  <c r="H11" i="52"/>
  <c r="H7" i="52"/>
  <c r="H10" i="52"/>
  <c r="J3" i="52"/>
  <c r="H4" i="52"/>
  <c r="H6" i="52"/>
  <c r="H8" i="52"/>
  <c r="J11" i="52"/>
  <c r="J9" i="52"/>
  <c r="I5" i="52"/>
  <c r="J5" i="52"/>
  <c r="I4" i="52"/>
  <c r="I6" i="52"/>
  <c r="I8" i="52"/>
  <c r="J12" i="52"/>
  <c r="J13" i="52"/>
  <c r="H5" i="52"/>
  <c r="J4" i="52"/>
  <c r="J6" i="52"/>
  <c r="J8" i="52"/>
  <c r="G5" i="52"/>
  <c r="G7" i="52"/>
  <c r="H9" i="52"/>
  <c r="N39" i="51" l="1"/>
  <c r="K39" i="51"/>
  <c r="M39" i="51" s="1"/>
  <c r="F39" i="51"/>
  <c r="N38" i="51"/>
  <c r="K38" i="51"/>
  <c r="M38" i="51" s="1"/>
  <c r="F38" i="51"/>
  <c r="N37" i="51"/>
  <c r="M37" i="51"/>
  <c r="K37" i="51"/>
  <c r="F37" i="51"/>
  <c r="N36" i="51"/>
  <c r="K36" i="51"/>
  <c r="M36" i="51" s="1"/>
  <c r="F36" i="51"/>
  <c r="N35" i="51"/>
  <c r="M35" i="51"/>
  <c r="K35" i="51"/>
  <c r="F35" i="51"/>
  <c r="N34" i="51"/>
  <c r="K34" i="51"/>
  <c r="M34" i="51" s="1"/>
  <c r="F34" i="51"/>
  <c r="N33" i="51"/>
  <c r="M33" i="51"/>
  <c r="K33" i="51"/>
  <c r="F33" i="51"/>
  <c r="N32" i="51"/>
  <c r="K32" i="51"/>
  <c r="M32" i="51" s="1"/>
  <c r="F32" i="51"/>
  <c r="N31" i="51"/>
  <c r="M31" i="51"/>
  <c r="K31" i="51"/>
  <c r="F31" i="51"/>
  <c r="N30" i="51"/>
  <c r="K30" i="51"/>
  <c r="M30" i="51" s="1"/>
  <c r="F30" i="51"/>
  <c r="N29" i="51"/>
  <c r="M29" i="51"/>
  <c r="K29" i="51"/>
  <c r="F29" i="51"/>
  <c r="N28" i="51"/>
  <c r="K28" i="51"/>
  <c r="M28" i="51" s="1"/>
  <c r="F28" i="51"/>
  <c r="N27" i="51"/>
  <c r="M27" i="51"/>
  <c r="K27" i="51"/>
  <c r="F27" i="51"/>
  <c r="N26" i="51"/>
  <c r="K26" i="51"/>
  <c r="M26" i="51" s="1"/>
  <c r="F26" i="51"/>
  <c r="N25" i="51"/>
  <c r="M25" i="51"/>
  <c r="K25" i="51"/>
  <c r="F25" i="51"/>
  <c r="N24" i="51"/>
  <c r="K24" i="51"/>
  <c r="M24" i="51" s="1"/>
  <c r="F24" i="51"/>
  <c r="N23" i="51"/>
  <c r="M23" i="51"/>
  <c r="K23" i="51"/>
  <c r="F23" i="51"/>
  <c r="N22" i="51"/>
  <c r="K22" i="51"/>
  <c r="M22" i="51" s="1"/>
  <c r="F22" i="51"/>
  <c r="N21" i="51"/>
  <c r="M21" i="51"/>
  <c r="K21" i="51"/>
  <c r="F21" i="51"/>
  <c r="N20" i="51"/>
  <c r="K20" i="51"/>
  <c r="M20" i="51" s="1"/>
  <c r="F20" i="51"/>
  <c r="N19" i="51"/>
  <c r="M19" i="51"/>
  <c r="K19" i="51"/>
  <c r="F19" i="51"/>
  <c r="N18" i="51"/>
  <c r="K18" i="51"/>
  <c r="M18" i="51" s="1"/>
  <c r="F18" i="51"/>
  <c r="N17" i="51"/>
  <c r="M17" i="51"/>
  <c r="K17" i="51"/>
  <c r="F17" i="51"/>
  <c r="N16" i="51"/>
  <c r="K16" i="51"/>
  <c r="M16" i="51" s="1"/>
  <c r="F16" i="51"/>
  <c r="N15" i="51"/>
  <c r="M15" i="51"/>
  <c r="K15" i="51"/>
  <c r="F15" i="51"/>
  <c r="N14" i="51"/>
  <c r="K14" i="51"/>
  <c r="M14" i="51" s="1"/>
  <c r="F14" i="51"/>
  <c r="N13" i="51"/>
  <c r="M13" i="51"/>
  <c r="K13" i="51"/>
  <c r="F13" i="51"/>
  <c r="N12" i="51"/>
  <c r="K12" i="51"/>
  <c r="M12" i="51" s="1"/>
  <c r="F12" i="51"/>
  <c r="N11" i="51"/>
  <c r="M11" i="51"/>
  <c r="K11" i="51"/>
  <c r="F11" i="51"/>
  <c r="N10" i="51"/>
  <c r="K10" i="51"/>
  <c r="M10" i="51" s="1"/>
  <c r="F10" i="51"/>
  <c r="N9" i="51"/>
  <c r="M9" i="51"/>
  <c r="K9" i="51"/>
  <c r="F9" i="51"/>
  <c r="N8" i="51"/>
  <c r="K8" i="51"/>
  <c r="M8" i="51" s="1"/>
  <c r="F8" i="51"/>
  <c r="N7" i="51"/>
  <c r="M7" i="51"/>
  <c r="F7" i="51"/>
  <c r="N6" i="51"/>
  <c r="K6" i="51"/>
  <c r="M6" i="51" s="1"/>
  <c r="F6" i="51"/>
  <c r="N5" i="51"/>
  <c r="K5" i="51"/>
  <c r="M5" i="51" s="1"/>
  <c r="F5" i="51"/>
  <c r="N4" i="51"/>
  <c r="K4" i="51"/>
  <c r="M4" i="51" s="1"/>
  <c r="F4" i="51"/>
  <c r="AC13" i="48" l="1"/>
  <c r="AA13" i="48" s="1"/>
  <c r="AC12" i="48"/>
  <c r="W12" i="48" s="1"/>
  <c r="AC6" i="48"/>
  <c r="V6" i="48" s="1"/>
  <c r="AC5" i="48"/>
  <c r="Z5" i="48" s="1"/>
  <c r="AB5" i="48"/>
  <c r="AA5" i="48"/>
  <c r="Y5" i="48"/>
  <c r="T5" i="48"/>
  <c r="G27" i="47"/>
  <c r="G26" i="47"/>
  <c r="G25" i="47"/>
  <c r="G24" i="47"/>
  <c r="G23" i="47"/>
  <c r="G22" i="47"/>
  <c r="G21" i="47"/>
  <c r="G20" i="47"/>
  <c r="G19" i="47"/>
  <c r="G18" i="47"/>
  <c r="G17" i="47"/>
  <c r="G16" i="47"/>
  <c r="G15" i="47"/>
  <c r="G14" i="47"/>
  <c r="T38" i="46"/>
  <c r="E38" i="46"/>
  <c r="T37" i="46"/>
  <c r="E37" i="46"/>
  <c r="F37" i="46" s="1"/>
  <c r="G37" i="46" s="1"/>
  <c r="I37" i="46" s="1"/>
  <c r="T36" i="46"/>
  <c r="E36" i="46"/>
  <c r="T35" i="46"/>
  <c r="E35" i="46"/>
  <c r="T34" i="46"/>
  <c r="E34" i="46"/>
  <c r="T33" i="46"/>
  <c r="E33" i="46"/>
  <c r="T32" i="46"/>
  <c r="E32" i="46"/>
  <c r="T31" i="46"/>
  <c r="E31" i="46"/>
  <c r="T30" i="46"/>
  <c r="E30" i="46"/>
  <c r="T29" i="46"/>
  <c r="E29" i="46"/>
  <c r="F29" i="46" s="1"/>
  <c r="G29" i="46" s="1"/>
  <c r="I29" i="46" s="1"/>
  <c r="T28" i="46"/>
  <c r="U28" i="46" s="1"/>
  <c r="V28" i="46" s="1"/>
  <c r="X28" i="46" s="1"/>
  <c r="E28" i="46"/>
  <c r="T27" i="46"/>
  <c r="E27" i="46"/>
  <c r="T26" i="46"/>
  <c r="E26" i="46"/>
  <c r="T25" i="46"/>
  <c r="E25" i="46"/>
  <c r="AE20" i="46"/>
  <c r="U29" i="46" s="1"/>
  <c r="V29" i="46" s="1"/>
  <c r="X29" i="46" s="1"/>
  <c r="O20" i="46"/>
  <c r="F34" i="46" s="1"/>
  <c r="G34" i="46" s="1"/>
  <c r="I34" i="46" s="1"/>
  <c r="X38" i="45"/>
  <c r="Y38" i="45" s="1"/>
  <c r="Z38" i="45" s="1"/>
  <c r="AA38" i="45" s="1"/>
  <c r="AC38" i="45" s="1"/>
  <c r="E38" i="45"/>
  <c r="F38" i="45" s="1"/>
  <c r="X37" i="45"/>
  <c r="Y37" i="45" s="1"/>
  <c r="Z37" i="45" s="1"/>
  <c r="AA37" i="45" s="1"/>
  <c r="AC37" i="45" s="1"/>
  <c r="E37" i="45"/>
  <c r="X36" i="45"/>
  <c r="Y36" i="45" s="1"/>
  <c r="Z36" i="45" s="1"/>
  <c r="AA36" i="45" s="1"/>
  <c r="AC36" i="45" s="1"/>
  <c r="E36" i="45"/>
  <c r="X35" i="45"/>
  <c r="Y35" i="45" s="1"/>
  <c r="Z35" i="45" s="1"/>
  <c r="AA35" i="45" s="1"/>
  <c r="AC35" i="45" s="1"/>
  <c r="E35" i="45"/>
  <c r="F35" i="45" s="1"/>
  <c r="X34" i="45"/>
  <c r="Y34" i="45" s="1"/>
  <c r="Z34" i="45" s="1"/>
  <c r="AA34" i="45" s="1"/>
  <c r="AC34" i="45" s="1"/>
  <c r="E34" i="45"/>
  <c r="F34" i="45" s="1"/>
  <c r="X33" i="45"/>
  <c r="Y33" i="45" s="1"/>
  <c r="Z33" i="45" s="1"/>
  <c r="AA33" i="45" s="1"/>
  <c r="AC33" i="45" s="1"/>
  <c r="E33" i="45"/>
  <c r="F33" i="45" s="1"/>
  <c r="X32" i="45"/>
  <c r="Y32" i="45" s="1"/>
  <c r="Z32" i="45" s="1"/>
  <c r="AA32" i="45" s="1"/>
  <c r="AC32" i="45" s="1"/>
  <c r="E32" i="45"/>
  <c r="X31" i="45"/>
  <c r="Y31" i="45" s="1"/>
  <c r="Z31" i="45" s="1"/>
  <c r="AA31" i="45" s="1"/>
  <c r="AC31" i="45" s="1"/>
  <c r="E31" i="45"/>
  <c r="F31" i="45" s="1"/>
  <c r="Y30" i="45"/>
  <c r="Z30" i="45" s="1"/>
  <c r="AA30" i="45" s="1"/>
  <c r="AC30" i="45" s="1"/>
  <c r="X30" i="45"/>
  <c r="E30" i="45"/>
  <c r="F30" i="45" s="1"/>
  <c r="X29" i="45"/>
  <c r="Y29" i="45" s="1"/>
  <c r="Z29" i="45" s="1"/>
  <c r="AA29" i="45" s="1"/>
  <c r="AC29" i="45" s="1"/>
  <c r="E29" i="45"/>
  <c r="X28" i="45"/>
  <c r="Y28" i="45" s="1"/>
  <c r="Z28" i="45" s="1"/>
  <c r="AA28" i="45" s="1"/>
  <c r="AC28" i="45" s="1"/>
  <c r="E28" i="45"/>
  <c r="X27" i="45"/>
  <c r="Y27" i="45" s="1"/>
  <c r="Z27" i="45" s="1"/>
  <c r="AA27" i="45" s="1"/>
  <c r="AC27" i="45" s="1"/>
  <c r="E27" i="45"/>
  <c r="F27" i="45" s="1"/>
  <c r="X26" i="45"/>
  <c r="Y26" i="45" s="1"/>
  <c r="Z26" i="45" s="1"/>
  <c r="AA26" i="45" s="1"/>
  <c r="AC26" i="45" s="1"/>
  <c r="F26" i="45"/>
  <c r="E26" i="45"/>
  <c r="X25" i="45"/>
  <c r="Y25" i="45" s="1"/>
  <c r="Z25" i="45" s="1"/>
  <c r="AA25" i="45" s="1"/>
  <c r="AC25" i="45" s="1"/>
  <c r="E25" i="45"/>
  <c r="AJ20" i="45"/>
  <c r="AK20" i="45" s="1"/>
  <c r="P20" i="45"/>
  <c r="P19" i="45"/>
  <c r="Q19" i="45" s="1"/>
  <c r="P18" i="45"/>
  <c r="P17" i="45"/>
  <c r="Q17" i="45" s="1"/>
  <c r="P16" i="45"/>
  <c r="Q16" i="45" s="1"/>
  <c r="Q15" i="45"/>
  <c r="P15" i="45"/>
  <c r="F37" i="45" s="1"/>
  <c r="AB131" i="43"/>
  <c r="AB153" i="43"/>
  <c r="AC153" i="43" s="1"/>
  <c r="AD153" i="43" s="1"/>
  <c r="AA153" i="43"/>
  <c r="AA152" i="43"/>
  <c r="AB152" i="43" s="1"/>
  <c r="AC152" i="43" s="1"/>
  <c r="AD152" i="43" s="1"/>
  <c r="AB151" i="43"/>
  <c r="AC151" i="43" s="1"/>
  <c r="AD151" i="43" s="1"/>
  <c r="AA151" i="43"/>
  <c r="AA150" i="43"/>
  <c r="AB150" i="43" s="1"/>
  <c r="AC150" i="43" s="1"/>
  <c r="AD150" i="43" s="1"/>
  <c r="AB149" i="43"/>
  <c r="AC149" i="43" s="1"/>
  <c r="AD149" i="43" s="1"/>
  <c r="AA149" i="43"/>
  <c r="AA148" i="43"/>
  <c r="AB148" i="43" s="1"/>
  <c r="AC148" i="43" s="1"/>
  <c r="AD148" i="43" s="1"/>
  <c r="AB147" i="43"/>
  <c r="AC147" i="43" s="1"/>
  <c r="AD147" i="43" s="1"/>
  <c r="AA147" i="43"/>
  <c r="AA146" i="43"/>
  <c r="AB146" i="43" s="1"/>
  <c r="AC146" i="43" s="1"/>
  <c r="AD146" i="43" s="1"/>
  <c r="AB145" i="43"/>
  <c r="AC145" i="43" s="1"/>
  <c r="AD145" i="43" s="1"/>
  <c r="AA145" i="43"/>
  <c r="AA144" i="43"/>
  <c r="AB144" i="43" s="1"/>
  <c r="AC144" i="43" s="1"/>
  <c r="AD144" i="43" s="1"/>
  <c r="AA143" i="43"/>
  <c r="AB143" i="43" s="1"/>
  <c r="AC143" i="43" s="1"/>
  <c r="AD143" i="43" s="1"/>
  <c r="AB142" i="43"/>
  <c r="AC142" i="43" s="1"/>
  <c r="AD142" i="43" s="1"/>
  <c r="AA142" i="43"/>
  <c r="AA141" i="43"/>
  <c r="AB141" i="43" s="1"/>
  <c r="AC141" i="43" s="1"/>
  <c r="AD141" i="43" s="1"/>
  <c r="AB140" i="43"/>
  <c r="AC140" i="43" s="1"/>
  <c r="AD140" i="43" s="1"/>
  <c r="AA140" i="43"/>
  <c r="AA139" i="43"/>
  <c r="AB139" i="43" s="1"/>
  <c r="AC139" i="43" s="1"/>
  <c r="AD139" i="43" s="1"/>
  <c r="AB138" i="43"/>
  <c r="AC138" i="43" s="1"/>
  <c r="AD138" i="43" s="1"/>
  <c r="AA138" i="43"/>
  <c r="AA137" i="43"/>
  <c r="AB137" i="43" s="1"/>
  <c r="AC137" i="43" s="1"/>
  <c r="AD137" i="43" s="1"/>
  <c r="AB136" i="43"/>
  <c r="AC136" i="43" s="1"/>
  <c r="AD136" i="43" s="1"/>
  <c r="AA136" i="43"/>
  <c r="AA135" i="43"/>
  <c r="AB135" i="43" s="1"/>
  <c r="AC135" i="43" s="1"/>
  <c r="AD135" i="43" s="1"/>
  <c r="AB134" i="43"/>
  <c r="AC134" i="43" s="1"/>
  <c r="AD134" i="43" s="1"/>
  <c r="AA134" i="43"/>
  <c r="AA133" i="43"/>
  <c r="AB133" i="43" s="1"/>
  <c r="AC133" i="43" s="1"/>
  <c r="AD133" i="43" s="1"/>
  <c r="AB132" i="43"/>
  <c r="AC132" i="43" s="1"/>
  <c r="AD132" i="43" s="1"/>
  <c r="AA132" i="43"/>
  <c r="AA131" i="43"/>
  <c r="AC131" i="43" s="1"/>
  <c r="AD131" i="43" s="1"/>
  <c r="AN128" i="43"/>
  <c r="AO128" i="43" s="1"/>
  <c r="AO127" i="43"/>
  <c r="AN127" i="43"/>
  <c r="AN126" i="43"/>
  <c r="AO126" i="43" s="1"/>
  <c r="AN125" i="43"/>
  <c r="AO125" i="43" s="1"/>
  <c r="AN124" i="43"/>
  <c r="AO124" i="43" s="1"/>
  <c r="AN123" i="43"/>
  <c r="AO123" i="43" s="1"/>
  <c r="AN122" i="43"/>
  <c r="AO122" i="43" s="1"/>
  <c r="AM122" i="43"/>
  <c r="AM123" i="43" s="1"/>
  <c r="AM124" i="43" s="1"/>
  <c r="AM125" i="43" s="1"/>
  <c r="AM126" i="43" s="1"/>
  <c r="AM127" i="43" s="1"/>
  <c r="AO121" i="43"/>
  <c r="AN121" i="43"/>
  <c r="E152" i="43"/>
  <c r="E151" i="43"/>
  <c r="E150" i="43"/>
  <c r="E149" i="43"/>
  <c r="E148" i="43"/>
  <c r="E147" i="43"/>
  <c r="E146" i="43"/>
  <c r="E145" i="43"/>
  <c r="E144" i="43"/>
  <c r="E143" i="43"/>
  <c r="E142" i="43"/>
  <c r="E141" i="43"/>
  <c r="E140" i="43"/>
  <c r="E139" i="43"/>
  <c r="E138" i="43"/>
  <c r="E137" i="43"/>
  <c r="E136" i="43"/>
  <c r="E135" i="43"/>
  <c r="E134" i="43"/>
  <c r="E133" i="43"/>
  <c r="E132" i="43"/>
  <c r="E131" i="43"/>
  <c r="E130" i="43"/>
  <c r="T125" i="43"/>
  <c r="Q125" i="43"/>
  <c r="T124" i="43"/>
  <c r="Q124" i="43"/>
  <c r="T123" i="43"/>
  <c r="Q123" i="43"/>
  <c r="T122" i="43"/>
  <c r="Q122" i="43"/>
  <c r="T121" i="43"/>
  <c r="Q121" i="43"/>
  <c r="Q117" i="43"/>
  <c r="U12" i="48" l="1"/>
  <c r="X12" i="48"/>
  <c r="S5" i="48"/>
  <c r="T6" i="48"/>
  <c r="Y12" i="48"/>
  <c r="U5" i="48"/>
  <c r="U7" i="48" s="1"/>
  <c r="W6" i="48"/>
  <c r="T13" i="48"/>
  <c r="U6" i="48"/>
  <c r="X5" i="48"/>
  <c r="X6" i="48"/>
  <c r="AB13" i="48"/>
  <c r="T7" i="48"/>
  <c r="AB6" i="48"/>
  <c r="AB7" i="48" s="1"/>
  <c r="U14" i="48"/>
  <c r="U16" i="48" s="1"/>
  <c r="Y6" i="48"/>
  <c r="Y7" i="48" s="1"/>
  <c r="R12" i="48"/>
  <c r="R14" i="48" s="1"/>
  <c r="Z12" i="48"/>
  <c r="V13" i="48"/>
  <c r="V5" i="48"/>
  <c r="V7" i="48" s="1"/>
  <c r="R6" i="48"/>
  <c r="Z6" i="48"/>
  <c r="Z7" i="48" s="1"/>
  <c r="S12" i="48"/>
  <c r="AA12" i="48"/>
  <c r="AA14" i="48" s="1"/>
  <c r="W13" i="48"/>
  <c r="W14" i="48" s="1"/>
  <c r="U13" i="48"/>
  <c r="W5" i="48"/>
  <c r="S6" i="48"/>
  <c r="AA6" i="48"/>
  <c r="AA7" i="48" s="1"/>
  <c r="T12" i="48"/>
  <c r="T14" i="48" s="1"/>
  <c r="T16" i="48" s="1"/>
  <c r="AB12" i="48"/>
  <c r="X13" i="48"/>
  <c r="X14" i="48" s="1"/>
  <c r="Y13" i="48"/>
  <c r="V12" i="48"/>
  <c r="V14" i="48" s="1"/>
  <c r="V16" i="48" s="1"/>
  <c r="R13" i="48"/>
  <c r="Z13" i="48"/>
  <c r="R5" i="48"/>
  <c r="R7" i="48" s="1"/>
  <c r="S13" i="48"/>
  <c r="H14" i="47"/>
  <c r="I25" i="47" s="1"/>
  <c r="U27" i="46"/>
  <c r="V27" i="46" s="1"/>
  <c r="X27" i="46" s="1"/>
  <c r="U35" i="46"/>
  <c r="V35" i="46" s="1"/>
  <c r="X35" i="46" s="1"/>
  <c r="F28" i="46"/>
  <c r="G28" i="46" s="1"/>
  <c r="I28" i="46" s="1"/>
  <c r="F36" i="46"/>
  <c r="G36" i="46" s="1"/>
  <c r="I36" i="46" s="1"/>
  <c r="U30" i="46"/>
  <c r="V30" i="46" s="1"/>
  <c r="X30" i="46" s="1"/>
  <c r="F31" i="46"/>
  <c r="G31" i="46" s="1"/>
  <c r="I31" i="46" s="1"/>
  <c r="U33" i="46"/>
  <c r="V33" i="46" s="1"/>
  <c r="X33" i="46" s="1"/>
  <c r="F25" i="46"/>
  <c r="G25" i="46" s="1"/>
  <c r="I25" i="46" s="1"/>
  <c r="U31" i="46"/>
  <c r="V31" i="46" s="1"/>
  <c r="X31" i="46" s="1"/>
  <c r="U34" i="46"/>
  <c r="V34" i="46" s="1"/>
  <c r="X34" i="46" s="1"/>
  <c r="U37" i="46"/>
  <c r="V37" i="46" s="1"/>
  <c r="X37" i="46" s="1"/>
  <c r="F33" i="46"/>
  <c r="G33" i="46" s="1"/>
  <c r="I33" i="46" s="1"/>
  <c r="U25" i="46"/>
  <c r="V25" i="46" s="1"/>
  <c r="X25" i="46" s="1"/>
  <c r="F35" i="46"/>
  <c r="G35" i="46" s="1"/>
  <c r="I35" i="46" s="1"/>
  <c r="F38" i="46"/>
  <c r="G38" i="46" s="1"/>
  <c r="I38" i="46" s="1"/>
  <c r="F32" i="46"/>
  <c r="G32" i="46" s="1"/>
  <c r="I32" i="46" s="1"/>
  <c r="U38" i="46"/>
  <c r="V38" i="46" s="1"/>
  <c r="X38" i="46" s="1"/>
  <c r="U26" i="46"/>
  <c r="V26" i="46" s="1"/>
  <c r="X26" i="46" s="1"/>
  <c r="F27" i="46"/>
  <c r="G27" i="46" s="1"/>
  <c r="I27" i="46" s="1"/>
  <c r="F32" i="45"/>
  <c r="F26" i="46"/>
  <c r="G26" i="46" s="1"/>
  <c r="I26" i="46" s="1"/>
  <c r="F30" i="46"/>
  <c r="G30" i="46" s="1"/>
  <c r="I30" i="46" s="1"/>
  <c r="U32" i="46"/>
  <c r="V32" i="46" s="1"/>
  <c r="X32" i="46" s="1"/>
  <c r="U36" i="46"/>
  <c r="V36" i="46" s="1"/>
  <c r="X36" i="46" s="1"/>
  <c r="G34" i="45"/>
  <c r="H34" i="45" s="1"/>
  <c r="J34" i="45" s="1"/>
  <c r="G37" i="45"/>
  <c r="H37" i="45" s="1"/>
  <c r="J37" i="45" s="1"/>
  <c r="Q20" i="45"/>
  <c r="F29" i="45"/>
  <c r="F36" i="45"/>
  <c r="P22" i="45"/>
  <c r="G38" i="45" s="1"/>
  <c r="H38" i="45" s="1"/>
  <c r="J38" i="45" s="1"/>
  <c r="F25" i="45"/>
  <c r="G35" i="45"/>
  <c r="H35" i="45" s="1"/>
  <c r="J35" i="45" s="1"/>
  <c r="F28" i="45"/>
  <c r="G28" i="45" s="1"/>
  <c r="H28" i="45" s="1"/>
  <c r="J28" i="45" s="1"/>
  <c r="AE26" i="45"/>
  <c r="AD25" i="45"/>
  <c r="AE33" i="45" s="1"/>
  <c r="Q120" i="43"/>
  <c r="R120" i="43" s="1"/>
  <c r="Q119" i="43"/>
  <c r="R121" i="43" s="1"/>
  <c r="S121" i="43" s="1"/>
  <c r="Q118" i="43"/>
  <c r="R118" i="43" s="1"/>
  <c r="S7" i="48" l="1"/>
  <c r="W7" i="48"/>
  <c r="X7" i="48"/>
  <c r="Y14" i="48"/>
  <c r="Y16" i="48" s="1"/>
  <c r="X16" i="48"/>
  <c r="W16" i="48"/>
  <c r="AB14" i="48"/>
  <c r="AB16" i="48" s="1"/>
  <c r="AA16" i="48"/>
  <c r="S14" i="48"/>
  <c r="S16" i="48" s="1"/>
  <c r="Z14" i="48"/>
  <c r="Z16" i="48" s="1"/>
  <c r="I15" i="47"/>
  <c r="I27" i="47"/>
  <c r="I23" i="47"/>
  <c r="I26" i="47"/>
  <c r="I24" i="47"/>
  <c r="I22" i="47"/>
  <c r="I20" i="47"/>
  <c r="I18" i="47"/>
  <c r="I16" i="47"/>
  <c r="I21" i="47"/>
  <c r="I14" i="47"/>
  <c r="I17" i="47"/>
  <c r="I19" i="47"/>
  <c r="K38" i="46"/>
  <c r="Y25" i="46"/>
  <c r="Z26" i="46" s="1"/>
  <c r="J25" i="46"/>
  <c r="K35" i="46" s="1"/>
  <c r="Z33" i="46"/>
  <c r="Z30" i="46"/>
  <c r="Z35" i="46"/>
  <c r="Z28" i="46"/>
  <c r="K32" i="46"/>
  <c r="K31" i="46"/>
  <c r="Z36" i="46"/>
  <c r="K30" i="46"/>
  <c r="G25" i="45"/>
  <c r="H25" i="45" s="1"/>
  <c r="J25" i="45" s="1"/>
  <c r="AE32" i="45"/>
  <c r="G26" i="45"/>
  <c r="H26" i="45" s="1"/>
  <c r="J26" i="45" s="1"/>
  <c r="AE34" i="45"/>
  <c r="Z29" i="46"/>
  <c r="Z37" i="46"/>
  <c r="K33" i="46"/>
  <c r="K36" i="46"/>
  <c r="Z25" i="46"/>
  <c r="Z34" i="46"/>
  <c r="Z27" i="46"/>
  <c r="Z31" i="46"/>
  <c r="K34" i="46"/>
  <c r="Z32" i="46"/>
  <c r="K26" i="46"/>
  <c r="K29" i="46"/>
  <c r="Z38" i="46"/>
  <c r="K37" i="46"/>
  <c r="K28" i="46"/>
  <c r="K25" i="46"/>
  <c r="AE25" i="45"/>
  <c r="G36" i="45"/>
  <c r="H36" i="45" s="1"/>
  <c r="J36" i="45" s="1"/>
  <c r="G27" i="45"/>
  <c r="H27" i="45" s="1"/>
  <c r="J27" i="45" s="1"/>
  <c r="G29" i="45"/>
  <c r="H29" i="45" s="1"/>
  <c r="J29" i="45" s="1"/>
  <c r="G30" i="45"/>
  <c r="H30" i="45" s="1"/>
  <c r="J30" i="45" s="1"/>
  <c r="AE35" i="45"/>
  <c r="G33" i="45"/>
  <c r="H33" i="45" s="1"/>
  <c r="J33" i="45" s="1"/>
  <c r="AE37" i="45"/>
  <c r="G32" i="45"/>
  <c r="H32" i="45" s="1"/>
  <c r="J32" i="45" s="1"/>
  <c r="AE28" i="45"/>
  <c r="G31" i="45"/>
  <c r="H31" i="45" s="1"/>
  <c r="J31" i="45" s="1"/>
  <c r="AE29" i="45"/>
  <c r="AE31" i="45"/>
  <c r="AE36" i="45"/>
  <c r="AE30" i="45"/>
  <c r="AE27" i="45"/>
  <c r="F151" i="43"/>
  <c r="G151" i="43" s="1"/>
  <c r="H151" i="43" s="1"/>
  <c r="J151" i="43" s="1"/>
  <c r="F137" i="43"/>
  <c r="G137" i="43" s="1"/>
  <c r="H137" i="43" s="1"/>
  <c r="J137" i="43" s="1"/>
  <c r="L137" i="43" s="1"/>
  <c r="F147" i="43"/>
  <c r="G147" i="43" s="1"/>
  <c r="H147" i="43" s="1"/>
  <c r="J147" i="43" s="1"/>
  <c r="F144" i="43"/>
  <c r="G144" i="43" s="1"/>
  <c r="H144" i="43" s="1"/>
  <c r="J144" i="43" s="1"/>
  <c r="L144" i="43" s="1"/>
  <c r="F139" i="43"/>
  <c r="G139" i="43" s="1"/>
  <c r="H139" i="43" s="1"/>
  <c r="J139" i="43" s="1"/>
  <c r="F136" i="43"/>
  <c r="G136" i="43" s="1"/>
  <c r="H136" i="43" s="1"/>
  <c r="J136" i="43" s="1"/>
  <c r="F135" i="43"/>
  <c r="G135" i="43" s="1"/>
  <c r="H135" i="43" s="1"/>
  <c r="J135" i="43" s="1"/>
  <c r="R122" i="43"/>
  <c r="S122" i="43" s="1"/>
  <c r="F150" i="43"/>
  <c r="G150" i="43" s="1"/>
  <c r="H150" i="43" s="1"/>
  <c r="J150" i="43" s="1"/>
  <c r="L150" i="43" s="1"/>
  <c r="F130" i="43"/>
  <c r="G130" i="43" s="1"/>
  <c r="H130" i="43" s="1"/>
  <c r="J130" i="43" s="1"/>
  <c r="K130" i="43" s="1"/>
  <c r="L130" i="43" s="1"/>
  <c r="F145" i="43"/>
  <c r="G145" i="43" s="1"/>
  <c r="H145" i="43" s="1"/>
  <c r="J145" i="43" s="1"/>
  <c r="R119" i="43"/>
  <c r="F133" i="43"/>
  <c r="G133" i="43" s="1"/>
  <c r="H133" i="43" s="1"/>
  <c r="J133" i="43" s="1"/>
  <c r="F149" i="43"/>
  <c r="G149" i="43" s="1"/>
  <c r="H149" i="43" s="1"/>
  <c r="J149" i="43" s="1"/>
  <c r="F146" i="43"/>
  <c r="G146" i="43" s="1"/>
  <c r="H146" i="43" s="1"/>
  <c r="J146" i="43" s="1"/>
  <c r="R125" i="43"/>
  <c r="S125" i="43" s="1"/>
  <c r="F138" i="43"/>
  <c r="G138" i="43" s="1"/>
  <c r="H138" i="43" s="1"/>
  <c r="J138" i="43" s="1"/>
  <c r="L138" i="43" s="1"/>
  <c r="F131" i="43"/>
  <c r="G131" i="43" s="1"/>
  <c r="H131" i="43" s="1"/>
  <c r="J131" i="43" s="1"/>
  <c r="L131" i="43" s="1"/>
  <c r="F141" i="43"/>
  <c r="G141" i="43" s="1"/>
  <c r="H141" i="43" s="1"/>
  <c r="J141" i="43" s="1"/>
  <c r="F148" i="43"/>
  <c r="G148" i="43" s="1"/>
  <c r="H148" i="43" s="1"/>
  <c r="J148" i="43" s="1"/>
  <c r="L148" i="43" s="1"/>
  <c r="F142" i="43"/>
  <c r="G142" i="43" s="1"/>
  <c r="H142" i="43" s="1"/>
  <c r="J142" i="43" s="1"/>
  <c r="F140" i="43"/>
  <c r="G140" i="43" s="1"/>
  <c r="H140" i="43" s="1"/>
  <c r="J140" i="43" s="1"/>
  <c r="F134" i="43"/>
  <c r="G134" i="43" s="1"/>
  <c r="H134" i="43" s="1"/>
  <c r="J134" i="43" s="1"/>
  <c r="F132" i="43"/>
  <c r="G132" i="43" s="1"/>
  <c r="H132" i="43" s="1"/>
  <c r="J132" i="43" s="1"/>
  <c r="L132" i="43" s="1"/>
  <c r="F143" i="43"/>
  <c r="G143" i="43" s="1"/>
  <c r="H143" i="43" s="1"/>
  <c r="J143" i="43" s="1"/>
  <c r="R124" i="43"/>
  <c r="S124" i="43" s="1"/>
  <c r="R123" i="43"/>
  <c r="S123" i="43" s="1"/>
  <c r="F152" i="43"/>
  <c r="G152" i="43" s="1"/>
  <c r="H152" i="43" s="1"/>
  <c r="J152" i="43" s="1"/>
  <c r="K27" i="46" l="1"/>
  <c r="K25" i="45"/>
  <c r="L33" i="45" s="1"/>
  <c r="L143" i="43"/>
  <c r="L151" i="43"/>
  <c r="L142" i="43"/>
  <c r="L136" i="43"/>
  <c r="L134" i="43"/>
  <c r="L140" i="43"/>
  <c r="L147" i="43"/>
  <c r="L135" i="43"/>
  <c r="L145" i="43"/>
  <c r="L133" i="43"/>
  <c r="L139" i="43"/>
  <c r="L152" i="43"/>
  <c r="L146" i="43"/>
  <c r="L149" i="43"/>
  <c r="L141" i="43"/>
  <c r="L30" i="45" l="1"/>
  <c r="L36" i="45"/>
  <c r="L28" i="45"/>
  <c r="L34" i="45"/>
  <c r="L35" i="45"/>
  <c r="L25" i="45"/>
  <c r="L32" i="45"/>
  <c r="L37" i="45"/>
  <c r="L38" i="45"/>
  <c r="L26" i="45"/>
  <c r="L29" i="45"/>
  <c r="L31" i="45"/>
  <c r="L27" i="45"/>
  <c r="AF89" i="43" l="1"/>
  <c r="AF97" i="43"/>
  <c r="AE99" i="43"/>
  <c r="AE98" i="43"/>
  <c r="AE97" i="43"/>
  <c r="AE96" i="43"/>
  <c r="AE95" i="43"/>
  <c r="AF95" i="43" s="1"/>
  <c r="AE94" i="43"/>
  <c r="AE93" i="43"/>
  <c r="AE92" i="43"/>
  <c r="AE91" i="43"/>
  <c r="AE90" i="43"/>
  <c r="AE89" i="43"/>
  <c r="AE88" i="43"/>
  <c r="AF88" i="43" s="1"/>
  <c r="AE87" i="43"/>
  <c r="AE86" i="43"/>
  <c r="AF86" i="43" s="1"/>
  <c r="AE85" i="43"/>
  <c r="AF85" i="43" s="1"/>
  <c r="AE84" i="43"/>
  <c r="AE83" i="43"/>
  <c r="AE82" i="43"/>
  <c r="AE81" i="43"/>
  <c r="AF81" i="43" s="1"/>
  <c r="AQ78" i="43"/>
  <c r="AF93" i="43" s="1"/>
  <c r="AQ77" i="43"/>
  <c r="AR77" i="43" s="1"/>
  <c r="AQ76" i="43"/>
  <c r="AR76" i="43" s="1"/>
  <c r="AQ75" i="43"/>
  <c r="AR75" i="43" s="1"/>
  <c r="AQ74" i="43"/>
  <c r="AR74" i="43" s="1"/>
  <c r="AR73" i="43"/>
  <c r="AQ73" i="43"/>
  <c r="AP73" i="43"/>
  <c r="AP74" i="43" s="1"/>
  <c r="AP75" i="43" s="1"/>
  <c r="AP76" i="43" s="1"/>
  <c r="AP77" i="43" s="1"/>
  <c r="AR72" i="43"/>
  <c r="AQ72" i="43"/>
  <c r="AP72" i="43"/>
  <c r="AQ71" i="43"/>
  <c r="AR71" i="43" s="1"/>
  <c r="Q71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G85" i="43" s="1"/>
  <c r="H85" i="43" s="1"/>
  <c r="I85" i="43" s="1"/>
  <c r="K85" i="43" s="1"/>
  <c r="D83" i="43"/>
  <c r="D82" i="43"/>
  <c r="D81" i="43"/>
  <c r="E81" i="43" s="1"/>
  <c r="D80" i="43"/>
  <c r="T75" i="43"/>
  <c r="Q75" i="43"/>
  <c r="R75" i="43" s="1"/>
  <c r="Q74" i="43"/>
  <c r="T73" i="43"/>
  <c r="Q73" i="43"/>
  <c r="R73" i="43" s="1"/>
  <c r="T72" i="43"/>
  <c r="Q72" i="43"/>
  <c r="R72" i="43" s="1"/>
  <c r="T71" i="43"/>
  <c r="G87" i="43" l="1"/>
  <c r="AF96" i="43"/>
  <c r="AG96" i="43" s="1"/>
  <c r="AH96" i="43" s="1"/>
  <c r="R71" i="43"/>
  <c r="AF87" i="43"/>
  <c r="AG87" i="43" s="1"/>
  <c r="AH87" i="43" s="1"/>
  <c r="AG82" i="43"/>
  <c r="AH82" i="43" s="1"/>
  <c r="AG90" i="43"/>
  <c r="AH90" i="43" s="1"/>
  <c r="AF94" i="43"/>
  <c r="AG95" i="43"/>
  <c r="AH95" i="43" s="1"/>
  <c r="G90" i="43"/>
  <c r="G98" i="43"/>
  <c r="AG83" i="43"/>
  <c r="AH83" i="43" s="1"/>
  <c r="AG91" i="43"/>
  <c r="AH91" i="43" s="1"/>
  <c r="AG99" i="43"/>
  <c r="AH99" i="43" s="1"/>
  <c r="G91" i="43"/>
  <c r="G99" i="43"/>
  <c r="AG92" i="43"/>
  <c r="AH92" i="43" s="1"/>
  <c r="AF92" i="43"/>
  <c r="AF84" i="43"/>
  <c r="AG84" i="43" s="1"/>
  <c r="AH84" i="43" s="1"/>
  <c r="G92" i="43"/>
  <c r="H92" i="43" s="1"/>
  <c r="I92" i="43" s="1"/>
  <c r="K92" i="43" s="1"/>
  <c r="G100" i="43"/>
  <c r="H100" i="43" s="1"/>
  <c r="I100" i="43" s="1"/>
  <c r="K100" i="43" s="1"/>
  <c r="AF99" i="43"/>
  <c r="AF91" i="43"/>
  <c r="AF83" i="43"/>
  <c r="AF98" i="43"/>
  <c r="AG98" i="43" s="1"/>
  <c r="AH98" i="43" s="1"/>
  <c r="AF90" i="43"/>
  <c r="AF82" i="43"/>
  <c r="AG97" i="43"/>
  <c r="AH97" i="43" s="1"/>
  <c r="AG85" i="43"/>
  <c r="AH85" i="43" s="1"/>
  <c r="AG86" i="43"/>
  <c r="AH86" i="43" s="1"/>
  <c r="AG94" i="43"/>
  <c r="AH94" i="43" s="1"/>
  <c r="AG89" i="43"/>
  <c r="AH89" i="43" s="1"/>
  <c r="AG88" i="43"/>
  <c r="AH88" i="43" s="1"/>
  <c r="AG93" i="43"/>
  <c r="AH93" i="43" s="1"/>
  <c r="AG81" i="43"/>
  <c r="AH81" i="43" s="1"/>
  <c r="E82" i="43"/>
  <c r="G93" i="43"/>
  <c r="G101" i="43"/>
  <c r="G95" i="43"/>
  <c r="G103" i="43"/>
  <c r="H103" i="43" s="1"/>
  <c r="I103" i="43" s="1"/>
  <c r="K103" i="43" s="1"/>
  <c r="G88" i="43"/>
  <c r="H88" i="43" s="1"/>
  <c r="I88" i="43" s="1"/>
  <c r="K88" i="43" s="1"/>
  <c r="G96" i="43"/>
  <c r="E83" i="43"/>
  <c r="E80" i="43"/>
  <c r="G89" i="43"/>
  <c r="G97" i="43"/>
  <c r="H97" i="43" s="1"/>
  <c r="I97" i="43" s="1"/>
  <c r="K97" i="43" s="1"/>
  <c r="H99" i="43"/>
  <c r="I99" i="43" s="1"/>
  <c r="K99" i="43" s="1"/>
  <c r="H91" i="43"/>
  <c r="I91" i="43" s="1"/>
  <c r="K91" i="43" s="1"/>
  <c r="G102" i="43"/>
  <c r="H102" i="43" s="1"/>
  <c r="I102" i="43" s="1"/>
  <c r="K102" i="43" s="1"/>
  <c r="G94" i="43"/>
  <c r="H94" i="43" s="1"/>
  <c r="I94" i="43" s="1"/>
  <c r="K94" i="43" s="1"/>
  <c r="G86" i="43"/>
  <c r="H86" i="43" s="1"/>
  <c r="I86" i="43" s="1"/>
  <c r="K86" i="43" s="1"/>
  <c r="H90" i="43"/>
  <c r="I90" i="43" s="1"/>
  <c r="K90" i="43" s="1"/>
  <c r="H87" i="43"/>
  <c r="I87" i="43" s="1"/>
  <c r="K87" i="43" s="1"/>
  <c r="H95" i="43"/>
  <c r="I95" i="43" s="1"/>
  <c r="K95" i="43" s="1"/>
  <c r="H96" i="43"/>
  <c r="I96" i="43" s="1"/>
  <c r="K96" i="43" s="1"/>
  <c r="H89" i="43"/>
  <c r="I89" i="43" s="1"/>
  <c r="K89" i="43" s="1"/>
  <c r="H93" i="43"/>
  <c r="I93" i="43" s="1"/>
  <c r="K93" i="43" s="1"/>
  <c r="H98" i="43"/>
  <c r="I98" i="43" s="1"/>
  <c r="K98" i="43" s="1"/>
  <c r="H101" i="43"/>
  <c r="I101" i="43" s="1"/>
  <c r="K101" i="43" s="1"/>
  <c r="AA49" i="43"/>
  <c r="AB49" i="43" s="1"/>
  <c r="AC49" i="43" s="1"/>
  <c r="AD49" i="43" s="1"/>
  <c r="E49" i="43"/>
  <c r="AA48" i="43"/>
  <c r="AB48" i="43" s="1"/>
  <c r="AC48" i="43" s="1"/>
  <c r="AD48" i="43" s="1"/>
  <c r="E48" i="43"/>
  <c r="AA47" i="43"/>
  <c r="AB47" i="43" s="1"/>
  <c r="AC47" i="43" s="1"/>
  <c r="AD47" i="43" s="1"/>
  <c r="E47" i="43"/>
  <c r="AA46" i="43"/>
  <c r="AB46" i="43" s="1"/>
  <c r="AC46" i="43" s="1"/>
  <c r="AD46" i="43" s="1"/>
  <c r="E46" i="43"/>
  <c r="AA45" i="43"/>
  <c r="AB45" i="43" s="1"/>
  <c r="AC45" i="43" s="1"/>
  <c r="AD45" i="43" s="1"/>
  <c r="E45" i="43"/>
  <c r="AA44" i="43"/>
  <c r="AB44" i="43" s="1"/>
  <c r="AC44" i="43" s="1"/>
  <c r="AD44" i="43" s="1"/>
  <c r="E44" i="43"/>
  <c r="AA43" i="43"/>
  <c r="AB43" i="43" s="1"/>
  <c r="AC43" i="43" s="1"/>
  <c r="AD43" i="43" s="1"/>
  <c r="E43" i="43"/>
  <c r="AA42" i="43"/>
  <c r="AB42" i="43" s="1"/>
  <c r="AC42" i="43" s="1"/>
  <c r="AD42" i="43" s="1"/>
  <c r="E42" i="43"/>
  <c r="AA41" i="43"/>
  <c r="AB41" i="43" s="1"/>
  <c r="AC41" i="43" s="1"/>
  <c r="AD41" i="43" s="1"/>
  <c r="E41" i="43"/>
  <c r="AA40" i="43"/>
  <c r="AB40" i="43" s="1"/>
  <c r="AC40" i="43" s="1"/>
  <c r="AD40" i="43" s="1"/>
  <c r="E40" i="43"/>
  <c r="AA39" i="43"/>
  <c r="AB39" i="43" s="1"/>
  <c r="AC39" i="43" s="1"/>
  <c r="AD39" i="43" s="1"/>
  <c r="E39" i="43"/>
  <c r="AA38" i="43"/>
  <c r="AB38" i="43" s="1"/>
  <c r="AC38" i="43" s="1"/>
  <c r="AD38" i="43" s="1"/>
  <c r="E38" i="43"/>
  <c r="AA37" i="43"/>
  <c r="AB37" i="43" s="1"/>
  <c r="AC37" i="43" s="1"/>
  <c r="AD37" i="43" s="1"/>
  <c r="E37" i="43"/>
  <c r="AA36" i="43"/>
  <c r="AB36" i="43" s="1"/>
  <c r="AC36" i="43" s="1"/>
  <c r="AD36" i="43" s="1"/>
  <c r="E36" i="43"/>
  <c r="AA35" i="43"/>
  <c r="AB35" i="43" s="1"/>
  <c r="AC35" i="43" s="1"/>
  <c r="AD35" i="43" s="1"/>
  <c r="E35" i="43"/>
  <c r="AA34" i="43"/>
  <c r="AB34" i="43" s="1"/>
  <c r="AC34" i="43" s="1"/>
  <c r="AD34" i="43" s="1"/>
  <c r="E34" i="43"/>
  <c r="AA33" i="43"/>
  <c r="AB33" i="43" s="1"/>
  <c r="AC33" i="43" s="1"/>
  <c r="AD33" i="43" s="1"/>
  <c r="E33" i="43"/>
  <c r="AA32" i="43"/>
  <c r="AB32" i="43" s="1"/>
  <c r="AC32" i="43" s="1"/>
  <c r="AD32" i="43" s="1"/>
  <c r="E32" i="43"/>
  <c r="AA31" i="43"/>
  <c r="AB31" i="43" s="1"/>
  <c r="AC31" i="43" s="1"/>
  <c r="AD31" i="43" s="1"/>
  <c r="E31" i="43"/>
  <c r="AA30" i="43"/>
  <c r="AB30" i="43" s="1"/>
  <c r="AC30" i="43" s="1"/>
  <c r="AD30" i="43" s="1"/>
  <c r="E30" i="43"/>
  <c r="AA29" i="43"/>
  <c r="AB29" i="43" s="1"/>
  <c r="AC29" i="43" s="1"/>
  <c r="AD29" i="43" s="1"/>
  <c r="E29" i="43"/>
  <c r="AB28" i="43"/>
  <c r="AC28" i="43" s="1"/>
  <c r="AD28" i="43" s="1"/>
  <c r="AA28" i="43"/>
  <c r="E28" i="43"/>
  <c r="AA27" i="43"/>
  <c r="AB27" i="43" s="1"/>
  <c r="AC27" i="43" s="1"/>
  <c r="AD27" i="43" s="1"/>
  <c r="E27" i="43"/>
  <c r="AA26" i="43"/>
  <c r="AB26" i="43" s="1"/>
  <c r="AC26" i="43" s="1"/>
  <c r="AD26" i="43" s="1"/>
  <c r="E26" i="43"/>
  <c r="AN23" i="43"/>
  <c r="AO23" i="43" s="1"/>
  <c r="AN22" i="43"/>
  <c r="AO22" i="43" s="1"/>
  <c r="AN21" i="43"/>
  <c r="AO21" i="43" s="1"/>
  <c r="T21" i="43"/>
  <c r="Q21" i="43"/>
  <c r="AN20" i="43"/>
  <c r="AO20" i="43" s="1"/>
  <c r="T20" i="43"/>
  <c r="Q20" i="43"/>
  <c r="AN19" i="43"/>
  <c r="AO19" i="43" s="1"/>
  <c r="T19" i="43"/>
  <c r="Q19" i="43"/>
  <c r="AN18" i="43"/>
  <c r="AO18" i="43" s="1"/>
  <c r="T18" i="43"/>
  <c r="Q18" i="43"/>
  <c r="AN17" i="43"/>
  <c r="AO17" i="43" s="1"/>
  <c r="AM17" i="43"/>
  <c r="AM18" i="43" s="1"/>
  <c r="AM19" i="43" s="1"/>
  <c r="AM20" i="43" s="1"/>
  <c r="AM21" i="43" s="1"/>
  <c r="AM22" i="43" s="1"/>
  <c r="T17" i="43"/>
  <c r="Q17" i="43"/>
  <c r="AN16" i="43"/>
  <c r="AO16" i="43" s="1"/>
  <c r="Q13" i="43"/>
  <c r="Q14" i="43" s="1"/>
  <c r="L85" i="43" l="1"/>
  <c r="M85" i="43" s="1"/>
  <c r="M93" i="43"/>
  <c r="M92" i="43"/>
  <c r="M87" i="43"/>
  <c r="M89" i="43"/>
  <c r="M94" i="43"/>
  <c r="M96" i="43"/>
  <c r="M86" i="43"/>
  <c r="M88" i="43"/>
  <c r="M99" i="43"/>
  <c r="M102" i="43"/>
  <c r="M101" i="43"/>
  <c r="M103" i="43"/>
  <c r="M91" i="43"/>
  <c r="M98" i="43"/>
  <c r="M95" i="43"/>
  <c r="M90" i="43"/>
  <c r="Q15" i="43"/>
  <c r="R21" i="43" s="1"/>
  <c r="Q16" i="43"/>
  <c r="R16" i="43" s="1"/>
  <c r="AC125" i="42"/>
  <c r="AA125" i="42" s="1"/>
  <c r="AC124" i="42"/>
  <c r="W124" i="42" s="1"/>
  <c r="Y124" i="42"/>
  <c r="X124" i="42"/>
  <c r="AC118" i="42"/>
  <c r="V118" i="42" s="1"/>
  <c r="X118" i="42"/>
  <c r="W118" i="42"/>
  <c r="T118" i="42"/>
  <c r="S118" i="42"/>
  <c r="AC117" i="42"/>
  <c r="Z117" i="42" s="1"/>
  <c r="U117" i="42"/>
  <c r="N109" i="42"/>
  <c r="G109" i="42"/>
  <c r="N108" i="42"/>
  <c r="G108" i="42"/>
  <c r="N107" i="42"/>
  <c r="G107" i="42"/>
  <c r="N106" i="42"/>
  <c r="G106" i="42"/>
  <c r="I106" i="42" s="1"/>
  <c r="N105" i="42"/>
  <c r="P105" i="42" s="1"/>
  <c r="G105" i="42"/>
  <c r="N104" i="42"/>
  <c r="G104" i="42"/>
  <c r="N103" i="42"/>
  <c r="G103" i="42"/>
  <c r="N102" i="42"/>
  <c r="G102" i="42"/>
  <c r="N101" i="42"/>
  <c r="G101" i="42"/>
  <c r="N100" i="42"/>
  <c r="G100" i="42"/>
  <c r="N99" i="42"/>
  <c r="G99" i="42"/>
  <c r="N98" i="42"/>
  <c r="G98" i="42"/>
  <c r="N97" i="42"/>
  <c r="G97" i="42"/>
  <c r="O96" i="42"/>
  <c r="G96" i="42"/>
  <c r="H96" i="42" s="1"/>
  <c r="T91" i="42"/>
  <c r="E91" i="42"/>
  <c r="F91" i="42" s="1"/>
  <c r="G91" i="42" s="1"/>
  <c r="I91" i="42" s="1"/>
  <c r="T90" i="42"/>
  <c r="E90" i="42"/>
  <c r="T89" i="42"/>
  <c r="E89" i="42"/>
  <c r="F89" i="42" s="1"/>
  <c r="G89" i="42" s="1"/>
  <c r="I89" i="42" s="1"/>
  <c r="T88" i="42"/>
  <c r="E88" i="42"/>
  <c r="T87" i="42"/>
  <c r="E87" i="42"/>
  <c r="T86" i="42"/>
  <c r="E86" i="42"/>
  <c r="T85" i="42"/>
  <c r="E85" i="42"/>
  <c r="F85" i="42" s="1"/>
  <c r="G85" i="42" s="1"/>
  <c r="I85" i="42" s="1"/>
  <c r="T84" i="42"/>
  <c r="E84" i="42"/>
  <c r="T83" i="42"/>
  <c r="E83" i="42"/>
  <c r="F83" i="42" s="1"/>
  <c r="G83" i="42" s="1"/>
  <c r="I83" i="42" s="1"/>
  <c r="T82" i="42"/>
  <c r="E82" i="42"/>
  <c r="T81" i="42"/>
  <c r="E81" i="42"/>
  <c r="T80" i="42"/>
  <c r="E80" i="42"/>
  <c r="F80" i="42" s="1"/>
  <c r="G80" i="42" s="1"/>
  <c r="I80" i="42" s="1"/>
  <c r="T79" i="42"/>
  <c r="U79" i="42" s="1"/>
  <c r="V79" i="42" s="1"/>
  <c r="X79" i="42" s="1"/>
  <c r="F79" i="42"/>
  <c r="G79" i="42" s="1"/>
  <c r="I79" i="42" s="1"/>
  <c r="E79" i="42"/>
  <c r="T78" i="42"/>
  <c r="E78" i="42"/>
  <c r="F78" i="42" s="1"/>
  <c r="G78" i="42" s="1"/>
  <c r="I78" i="42" s="1"/>
  <c r="AE73" i="42"/>
  <c r="U78" i="42" s="1"/>
  <c r="V78" i="42" s="1"/>
  <c r="X78" i="42" s="1"/>
  <c r="O73" i="42"/>
  <c r="E37" i="41"/>
  <c r="F37" i="41" s="1"/>
  <c r="G37" i="41" s="1"/>
  <c r="H37" i="41" s="1"/>
  <c r="J37" i="41" s="1"/>
  <c r="E36" i="41"/>
  <c r="F36" i="41" s="1"/>
  <c r="G36" i="41" s="1"/>
  <c r="H36" i="41" s="1"/>
  <c r="J36" i="41" s="1"/>
  <c r="E35" i="41"/>
  <c r="F35" i="41" s="1"/>
  <c r="G35" i="41" s="1"/>
  <c r="H35" i="41" s="1"/>
  <c r="J35" i="41" s="1"/>
  <c r="E34" i="41"/>
  <c r="F34" i="41" s="1"/>
  <c r="G34" i="41" s="1"/>
  <c r="H34" i="41" s="1"/>
  <c r="J34" i="41" s="1"/>
  <c r="E33" i="41"/>
  <c r="F33" i="41" s="1"/>
  <c r="G33" i="41" s="1"/>
  <c r="H33" i="41" s="1"/>
  <c r="J33" i="41" s="1"/>
  <c r="E32" i="41"/>
  <c r="F32" i="41" s="1"/>
  <c r="G32" i="41" s="1"/>
  <c r="H32" i="41" s="1"/>
  <c r="J32" i="41" s="1"/>
  <c r="E31" i="41"/>
  <c r="F31" i="41" s="1"/>
  <c r="G31" i="41" s="1"/>
  <c r="H31" i="41" s="1"/>
  <c r="J31" i="41" s="1"/>
  <c r="E30" i="41"/>
  <c r="F30" i="41" s="1"/>
  <c r="G30" i="41" s="1"/>
  <c r="H30" i="41" s="1"/>
  <c r="J30" i="41" s="1"/>
  <c r="E29" i="41"/>
  <c r="F29" i="41" s="1"/>
  <c r="G29" i="41" s="1"/>
  <c r="H29" i="41" s="1"/>
  <c r="J29" i="41" s="1"/>
  <c r="D27" i="41"/>
  <c r="C27" i="41"/>
  <c r="D26" i="41"/>
  <c r="C26" i="41"/>
  <c r="D25" i="41"/>
  <c r="C25" i="41"/>
  <c r="C24" i="41"/>
  <c r="D24" i="41" s="1"/>
  <c r="S19" i="41"/>
  <c r="P19" i="41"/>
  <c r="Q19" i="41" s="1"/>
  <c r="S18" i="41"/>
  <c r="Q18" i="41"/>
  <c r="P18" i="41"/>
  <c r="S17" i="41"/>
  <c r="P17" i="41"/>
  <c r="Q17" i="41" s="1"/>
  <c r="S16" i="41"/>
  <c r="Q16" i="41"/>
  <c r="P16" i="41"/>
  <c r="S15" i="41"/>
  <c r="P15" i="41"/>
  <c r="Q15" i="41" s="1"/>
  <c r="I100" i="42" l="1"/>
  <c r="I108" i="42"/>
  <c r="I98" i="42"/>
  <c r="U91" i="42"/>
  <c r="V91" i="42" s="1"/>
  <c r="X91" i="42" s="1"/>
  <c r="F88" i="42"/>
  <c r="G88" i="42" s="1"/>
  <c r="I88" i="42" s="1"/>
  <c r="I99" i="42"/>
  <c r="U118" i="42"/>
  <c r="AB124" i="42"/>
  <c r="I102" i="42"/>
  <c r="I109" i="42"/>
  <c r="F87" i="42"/>
  <c r="G87" i="42" s="1"/>
  <c r="I87" i="42" s="1"/>
  <c r="I103" i="42"/>
  <c r="S117" i="42"/>
  <c r="S119" i="42" s="1"/>
  <c r="U85" i="42"/>
  <c r="V85" i="42" s="1"/>
  <c r="X85" i="42" s="1"/>
  <c r="I97" i="42"/>
  <c r="I104" i="42"/>
  <c r="W117" i="42"/>
  <c r="W119" i="42" s="1"/>
  <c r="I107" i="42"/>
  <c r="F82" i="42"/>
  <c r="G82" i="42" s="1"/>
  <c r="I82" i="42" s="1"/>
  <c r="Y117" i="42"/>
  <c r="T124" i="42"/>
  <c r="U82" i="42"/>
  <c r="V82" i="42" s="1"/>
  <c r="X82" i="42" s="1"/>
  <c r="I101" i="42"/>
  <c r="I105" i="42"/>
  <c r="U124" i="42"/>
  <c r="M97" i="43"/>
  <c r="M100" i="43"/>
  <c r="S21" i="43"/>
  <c r="F37" i="43"/>
  <c r="G37" i="43" s="1"/>
  <c r="H37" i="43" s="1"/>
  <c r="J37" i="43" s="1"/>
  <c r="F29" i="43"/>
  <c r="G29" i="43" s="1"/>
  <c r="H29" i="43" s="1"/>
  <c r="J29" i="43" s="1"/>
  <c r="F32" i="43"/>
  <c r="G32" i="43" s="1"/>
  <c r="H32" i="43" s="1"/>
  <c r="J32" i="43" s="1"/>
  <c r="F48" i="43"/>
  <c r="G48" i="43" s="1"/>
  <c r="H48" i="43" s="1"/>
  <c r="J48" i="43" s="1"/>
  <c r="F45" i="43"/>
  <c r="G45" i="43" s="1"/>
  <c r="H45" i="43" s="1"/>
  <c r="J45" i="43" s="1"/>
  <c r="F33" i="43"/>
  <c r="G33" i="43" s="1"/>
  <c r="H33" i="43" s="1"/>
  <c r="J33" i="43" s="1"/>
  <c r="F49" i="43"/>
  <c r="G49" i="43" s="1"/>
  <c r="H49" i="43" s="1"/>
  <c r="J49" i="43" s="1"/>
  <c r="F38" i="43"/>
  <c r="G38" i="43" s="1"/>
  <c r="H38" i="43" s="1"/>
  <c r="J38" i="43" s="1"/>
  <c r="R18" i="43"/>
  <c r="S18" i="43" s="1"/>
  <c r="F46" i="43"/>
  <c r="G46" i="43" s="1"/>
  <c r="H46" i="43" s="1"/>
  <c r="J46" i="43" s="1"/>
  <c r="F41" i="43"/>
  <c r="G41" i="43" s="1"/>
  <c r="H41" i="43" s="1"/>
  <c r="J41" i="43" s="1"/>
  <c r="R20" i="43"/>
  <c r="S20" i="43" s="1"/>
  <c r="F43" i="43"/>
  <c r="G43" i="43" s="1"/>
  <c r="H43" i="43" s="1"/>
  <c r="J43" i="43" s="1"/>
  <c r="F39" i="43"/>
  <c r="G39" i="43" s="1"/>
  <c r="H39" i="43" s="1"/>
  <c r="J39" i="43" s="1"/>
  <c r="F27" i="43"/>
  <c r="G27" i="43" s="1"/>
  <c r="H27" i="43" s="1"/>
  <c r="J27" i="43" s="1"/>
  <c r="F26" i="43"/>
  <c r="G26" i="43" s="1"/>
  <c r="H26" i="43" s="1"/>
  <c r="J26" i="43" s="1"/>
  <c r="R19" i="43"/>
  <c r="S19" i="43" s="1"/>
  <c r="F47" i="43"/>
  <c r="G47" i="43" s="1"/>
  <c r="H47" i="43" s="1"/>
  <c r="J47" i="43" s="1"/>
  <c r="F35" i="43"/>
  <c r="G35" i="43" s="1"/>
  <c r="H35" i="43" s="1"/>
  <c r="J35" i="43" s="1"/>
  <c r="F31" i="43"/>
  <c r="G31" i="43" s="1"/>
  <c r="H31" i="43" s="1"/>
  <c r="J31" i="43" s="1"/>
  <c r="R15" i="43"/>
  <c r="R17" i="43"/>
  <c r="S17" i="43" s="1"/>
  <c r="F34" i="43"/>
  <c r="G34" i="43" s="1"/>
  <c r="H34" i="43" s="1"/>
  <c r="J34" i="43" s="1"/>
  <c r="F44" i="43"/>
  <c r="G44" i="43" s="1"/>
  <c r="H44" i="43" s="1"/>
  <c r="J44" i="43" s="1"/>
  <c r="F42" i="43"/>
  <c r="G42" i="43" s="1"/>
  <c r="H42" i="43" s="1"/>
  <c r="J42" i="43" s="1"/>
  <c r="F30" i="43"/>
  <c r="G30" i="43" s="1"/>
  <c r="H30" i="43" s="1"/>
  <c r="J30" i="43" s="1"/>
  <c r="R14" i="43"/>
  <c r="F28" i="43"/>
  <c r="G28" i="43" s="1"/>
  <c r="H28" i="43" s="1"/>
  <c r="J28" i="43" s="1"/>
  <c r="F40" i="43"/>
  <c r="G40" i="43" s="1"/>
  <c r="H40" i="43" s="1"/>
  <c r="J40" i="43" s="1"/>
  <c r="F36" i="43"/>
  <c r="G36" i="43" s="1"/>
  <c r="H36" i="43" s="1"/>
  <c r="J36" i="43" s="1"/>
  <c r="P100" i="42"/>
  <c r="P108" i="42"/>
  <c r="X117" i="42"/>
  <c r="X119" i="42" s="1"/>
  <c r="F86" i="42"/>
  <c r="G86" i="42" s="1"/>
  <c r="I86" i="42" s="1"/>
  <c r="I96" i="42"/>
  <c r="AA117" i="42"/>
  <c r="AA118" i="42"/>
  <c r="U80" i="42"/>
  <c r="V80" i="42" s="1"/>
  <c r="X80" i="42" s="1"/>
  <c r="Y78" i="42" s="1"/>
  <c r="Z89" i="42" s="1"/>
  <c r="U83" i="42"/>
  <c r="V83" i="42" s="1"/>
  <c r="X83" i="42" s="1"/>
  <c r="U86" i="42"/>
  <c r="V86" i="42" s="1"/>
  <c r="X86" i="42" s="1"/>
  <c r="P101" i="42"/>
  <c r="P109" i="42"/>
  <c r="AB117" i="42"/>
  <c r="AB118" i="42"/>
  <c r="T125" i="42"/>
  <c r="U89" i="42"/>
  <c r="V89" i="42" s="1"/>
  <c r="X89" i="42" s="1"/>
  <c r="P97" i="42"/>
  <c r="U125" i="42"/>
  <c r="F81" i="42"/>
  <c r="G81" i="42" s="1"/>
  <c r="I81" i="42" s="1"/>
  <c r="F84" i="42"/>
  <c r="G84" i="42" s="1"/>
  <c r="I84" i="42" s="1"/>
  <c r="F90" i="42"/>
  <c r="G90" i="42" s="1"/>
  <c r="I90" i="42" s="1"/>
  <c r="T117" i="42"/>
  <c r="T119" i="42" s="1"/>
  <c r="T126" i="42"/>
  <c r="T128" i="42" s="1"/>
  <c r="AB125" i="42"/>
  <c r="AB126" i="42" s="1"/>
  <c r="U81" i="42"/>
  <c r="V81" i="42" s="1"/>
  <c r="X81" i="42" s="1"/>
  <c r="U84" i="42"/>
  <c r="V84" i="42" s="1"/>
  <c r="X84" i="42" s="1"/>
  <c r="U87" i="42"/>
  <c r="V87" i="42" s="1"/>
  <c r="X87" i="42" s="1"/>
  <c r="U90" i="42"/>
  <c r="V90" i="42" s="1"/>
  <c r="X90" i="42" s="1"/>
  <c r="U119" i="42"/>
  <c r="U126" i="42"/>
  <c r="U128" i="42" s="1"/>
  <c r="P103" i="42"/>
  <c r="P98" i="42"/>
  <c r="P106" i="42"/>
  <c r="J78" i="42"/>
  <c r="K79" i="42" s="1"/>
  <c r="P104" i="42"/>
  <c r="P99" i="42"/>
  <c r="P107" i="42"/>
  <c r="P102" i="42"/>
  <c r="P96" i="42"/>
  <c r="Y118" i="42"/>
  <c r="Y119" i="42" s="1"/>
  <c r="R124" i="42"/>
  <c r="R126" i="42" s="1"/>
  <c r="Z124" i="42"/>
  <c r="Z126" i="42" s="1"/>
  <c r="V125" i="42"/>
  <c r="U88" i="42"/>
  <c r="V88" i="42" s="1"/>
  <c r="X88" i="42" s="1"/>
  <c r="V117" i="42"/>
  <c r="V119" i="42" s="1"/>
  <c r="R118" i="42"/>
  <c r="Z118" i="42"/>
  <c r="Z119" i="42" s="1"/>
  <c r="S124" i="42"/>
  <c r="AA124" i="42"/>
  <c r="AA126" i="42" s="1"/>
  <c r="W125" i="42"/>
  <c r="W126" i="42" s="1"/>
  <c r="W128" i="42" s="1"/>
  <c r="X125" i="42"/>
  <c r="X126" i="42" s="1"/>
  <c r="Y125" i="42"/>
  <c r="Y126" i="42" s="1"/>
  <c r="V124" i="42"/>
  <c r="R125" i="42"/>
  <c r="Z125" i="42"/>
  <c r="R117" i="42"/>
  <c r="R119" i="42" s="1"/>
  <c r="S125" i="42"/>
  <c r="K29" i="41"/>
  <c r="L31" i="41" s="1"/>
  <c r="Z90" i="42" l="1"/>
  <c r="AB119" i="42"/>
  <c r="AB128" i="42" s="1"/>
  <c r="Z86" i="42"/>
  <c r="X128" i="42"/>
  <c r="N26" i="43"/>
  <c r="L42" i="43" s="1"/>
  <c r="Z87" i="42"/>
  <c r="Z78" i="42"/>
  <c r="AA128" i="42"/>
  <c r="Z80" i="42"/>
  <c r="Y128" i="42"/>
  <c r="Z88" i="42"/>
  <c r="K87" i="42"/>
  <c r="AA119" i="42"/>
  <c r="K78" i="42"/>
  <c r="K81" i="42"/>
  <c r="K91" i="42"/>
  <c r="Z128" i="42"/>
  <c r="K85" i="42"/>
  <c r="Z81" i="42"/>
  <c r="Z79" i="42"/>
  <c r="Z91" i="42"/>
  <c r="K84" i="42"/>
  <c r="Z82" i="42"/>
  <c r="S126" i="42"/>
  <c r="S128" i="42" s="1"/>
  <c r="K88" i="42"/>
  <c r="K82" i="42"/>
  <c r="K86" i="42"/>
  <c r="Z85" i="42"/>
  <c r="K80" i="42"/>
  <c r="Z84" i="42"/>
  <c r="R128" i="42"/>
  <c r="V126" i="42"/>
  <c r="V128" i="42" s="1"/>
  <c r="K90" i="42"/>
  <c r="Z83" i="42"/>
  <c r="K89" i="42"/>
  <c r="K83" i="42"/>
  <c r="L29" i="41"/>
  <c r="L36" i="41"/>
  <c r="L34" i="41"/>
  <c r="L33" i="41"/>
  <c r="L37" i="41"/>
  <c r="L35" i="41"/>
  <c r="L30" i="41"/>
  <c r="L32" i="41"/>
  <c r="L27" i="43" l="1"/>
  <c r="L39" i="43"/>
  <c r="L34" i="43"/>
  <c r="L28" i="43"/>
  <c r="L35" i="43"/>
  <c r="L30" i="43"/>
  <c r="L36" i="43"/>
  <c r="L44" i="43"/>
  <c r="L47" i="43"/>
  <c r="L43" i="43"/>
  <c r="L40" i="43"/>
  <c r="L26" i="43"/>
  <c r="L45" i="43"/>
  <c r="L29" i="43"/>
  <c r="L41" i="43"/>
  <c r="L49" i="43"/>
  <c r="L46" i="43"/>
  <c r="L38" i="43"/>
  <c r="L32" i="43"/>
  <c r="L48" i="43"/>
  <c r="L33" i="43"/>
  <c r="L37" i="43"/>
  <c r="L31" i="43"/>
  <c r="AB67" i="40" l="1"/>
  <c r="AB66" i="40"/>
  <c r="AB81" i="40"/>
  <c r="AB80" i="40"/>
  <c r="AB79" i="40"/>
  <c r="AB78" i="40"/>
  <c r="AB77" i="40"/>
  <c r="AB76" i="40"/>
  <c r="AB75" i="40"/>
  <c r="AB74" i="40"/>
  <c r="AB73" i="40"/>
  <c r="AB72" i="40"/>
  <c r="AB71" i="40"/>
  <c r="AB70" i="40"/>
  <c r="AB69" i="40"/>
  <c r="AB68" i="40"/>
  <c r="AP63" i="40"/>
  <c r="AP62" i="40"/>
  <c r="AP61" i="40"/>
  <c r="AP60" i="40"/>
  <c r="AP59" i="40"/>
  <c r="AP58" i="40"/>
  <c r="AP57" i="40"/>
  <c r="AP56" i="40"/>
  <c r="AP55" i="40"/>
  <c r="D78" i="40"/>
  <c r="D77" i="40"/>
  <c r="D76" i="40"/>
  <c r="D75" i="40"/>
  <c r="D74" i="40"/>
  <c r="D73" i="40"/>
  <c r="D72" i="40"/>
  <c r="D71" i="40"/>
  <c r="D70" i="40"/>
  <c r="D69" i="40"/>
  <c r="D68" i="40"/>
  <c r="D67" i="40"/>
  <c r="D66" i="40"/>
  <c r="D65" i="40"/>
  <c r="D64" i="40"/>
  <c r="D63" i="40"/>
  <c r="C61" i="40"/>
  <c r="C60" i="40"/>
  <c r="C59" i="40"/>
  <c r="C58" i="40"/>
  <c r="D58" i="40" s="1"/>
  <c r="S53" i="40"/>
  <c r="P53" i="40"/>
  <c r="S52" i="40"/>
  <c r="P52" i="40"/>
  <c r="S51" i="40"/>
  <c r="P51" i="40"/>
  <c r="S50" i="40"/>
  <c r="P50" i="40"/>
  <c r="S49" i="40"/>
  <c r="P49" i="40"/>
  <c r="P45" i="40"/>
  <c r="P46" i="40" s="1"/>
  <c r="D61" i="40" l="1"/>
  <c r="AC78" i="40"/>
  <c r="AC68" i="40"/>
  <c r="AD68" i="40" s="1"/>
  <c r="AE68" i="40" s="1"/>
  <c r="AC77" i="40"/>
  <c r="AD77" i="40" s="1"/>
  <c r="AE77" i="40" s="1"/>
  <c r="AC70" i="40"/>
  <c r="AD70" i="40" s="1"/>
  <c r="AE70" i="40" s="1"/>
  <c r="AC69" i="40"/>
  <c r="AD69" i="40" s="1"/>
  <c r="AE69" i="40" s="1"/>
  <c r="AC74" i="40"/>
  <c r="AD74" i="40" s="1"/>
  <c r="AE74" i="40" s="1"/>
  <c r="AC81" i="40"/>
  <c r="AD81" i="40" s="1"/>
  <c r="AE81" i="40" s="1"/>
  <c r="AC72" i="40"/>
  <c r="AD72" i="40" s="1"/>
  <c r="AE72" i="40" s="1"/>
  <c r="D59" i="40"/>
  <c r="D60" i="40"/>
  <c r="AC75" i="40"/>
  <c r="AD75" i="40" s="1"/>
  <c r="AE75" i="40" s="1"/>
  <c r="AC76" i="40"/>
  <c r="AD76" i="40" s="1"/>
  <c r="AE76" i="40" s="1"/>
  <c r="AC73" i="40"/>
  <c r="AD73" i="40" s="1"/>
  <c r="AE73" i="40" s="1"/>
  <c r="AC79" i="40"/>
  <c r="AD79" i="40" s="1"/>
  <c r="AE79" i="40" s="1"/>
  <c r="AC71" i="40"/>
  <c r="AD71" i="40" s="1"/>
  <c r="AE71" i="40" s="1"/>
  <c r="AC80" i="40"/>
  <c r="AD80" i="40" s="1"/>
  <c r="AE80" i="40" s="1"/>
  <c r="AC66" i="40"/>
  <c r="AD66" i="40" s="1"/>
  <c r="AE66" i="40" s="1"/>
  <c r="AC67" i="40"/>
  <c r="AD67" i="40" s="1"/>
  <c r="AE67" i="40" s="1"/>
  <c r="AD78" i="40"/>
  <c r="AE78" i="40" s="1"/>
  <c r="P47" i="40"/>
  <c r="E75" i="40" s="1"/>
  <c r="F75" i="40" s="1"/>
  <c r="G75" i="40" s="1"/>
  <c r="H75" i="40" s="1"/>
  <c r="J75" i="40" s="1"/>
  <c r="P48" i="40"/>
  <c r="Q48" i="40" l="1"/>
  <c r="E70" i="40"/>
  <c r="F70" i="40" s="1"/>
  <c r="G70" i="40" s="1"/>
  <c r="H70" i="40" s="1"/>
  <c r="J70" i="40" s="1"/>
  <c r="E77" i="40"/>
  <c r="F77" i="40" s="1"/>
  <c r="G77" i="40" s="1"/>
  <c r="H77" i="40" s="1"/>
  <c r="J77" i="40" s="1"/>
  <c r="E76" i="40"/>
  <c r="F76" i="40" s="1"/>
  <c r="G76" i="40" s="1"/>
  <c r="H76" i="40" s="1"/>
  <c r="J76" i="40" s="1"/>
  <c r="E71" i="40"/>
  <c r="F71" i="40" s="1"/>
  <c r="G71" i="40" s="1"/>
  <c r="H71" i="40" s="1"/>
  <c r="J71" i="40" s="1"/>
  <c r="E72" i="40"/>
  <c r="F72" i="40" s="1"/>
  <c r="G72" i="40" s="1"/>
  <c r="H72" i="40" s="1"/>
  <c r="J72" i="40" s="1"/>
  <c r="E67" i="40"/>
  <c r="F67" i="40" s="1"/>
  <c r="G67" i="40" s="1"/>
  <c r="H67" i="40" s="1"/>
  <c r="J67" i="40" s="1"/>
  <c r="Q47" i="40"/>
  <c r="E74" i="40"/>
  <c r="F74" i="40" s="1"/>
  <c r="G74" i="40" s="1"/>
  <c r="H74" i="40" s="1"/>
  <c r="J74" i="40" s="1"/>
  <c r="E69" i="40"/>
  <c r="F69" i="40" s="1"/>
  <c r="G69" i="40" s="1"/>
  <c r="H69" i="40" s="1"/>
  <c r="J69" i="40" s="1"/>
  <c r="Q50" i="40"/>
  <c r="Q49" i="40"/>
  <c r="R49" i="40" s="1"/>
  <c r="Q46" i="40"/>
  <c r="Q53" i="40"/>
  <c r="R53" i="40" s="1"/>
  <c r="E65" i="40"/>
  <c r="F65" i="40" s="1"/>
  <c r="G65" i="40" s="1"/>
  <c r="H65" i="40" s="1"/>
  <c r="J65" i="40" s="1"/>
  <c r="E66" i="40"/>
  <c r="F66" i="40" s="1"/>
  <c r="G66" i="40" s="1"/>
  <c r="H66" i="40" s="1"/>
  <c r="J66" i="40" s="1"/>
  <c r="E63" i="40"/>
  <c r="F63" i="40" s="1"/>
  <c r="G63" i="40" s="1"/>
  <c r="H63" i="40" s="1"/>
  <c r="J63" i="40" s="1"/>
  <c r="E68" i="40"/>
  <c r="F68" i="40" s="1"/>
  <c r="G68" i="40" s="1"/>
  <c r="H68" i="40" s="1"/>
  <c r="J68" i="40" s="1"/>
  <c r="E78" i="40"/>
  <c r="F78" i="40" s="1"/>
  <c r="G78" i="40" s="1"/>
  <c r="H78" i="40" s="1"/>
  <c r="J78" i="40" s="1"/>
  <c r="E73" i="40"/>
  <c r="F73" i="40" s="1"/>
  <c r="G73" i="40" s="1"/>
  <c r="H73" i="40" s="1"/>
  <c r="J73" i="40" s="1"/>
  <c r="Q51" i="40"/>
  <c r="R51" i="40" s="1"/>
  <c r="Q52" i="40"/>
  <c r="R52" i="40" s="1"/>
  <c r="E64" i="40"/>
  <c r="F64" i="40" s="1"/>
  <c r="G64" i="40" s="1"/>
  <c r="H64" i="40" s="1"/>
  <c r="J64" i="40" s="1"/>
  <c r="R50" i="40" l="1"/>
  <c r="K63" i="40"/>
  <c r="L74" i="40" s="1"/>
  <c r="L65" i="40" l="1"/>
  <c r="L69" i="40"/>
  <c r="L64" i="40"/>
  <c r="L73" i="40"/>
  <c r="L67" i="40"/>
  <c r="L70" i="40"/>
  <c r="L76" i="40"/>
  <c r="L68" i="40"/>
  <c r="L66" i="40"/>
  <c r="L75" i="40"/>
  <c r="L72" i="40"/>
  <c r="L63" i="40"/>
  <c r="L78" i="40"/>
  <c r="L77" i="40"/>
  <c r="L71" i="40"/>
  <c r="AE14" i="38" l="1"/>
  <c r="AI15" i="37"/>
  <c r="AI16" i="37"/>
  <c r="AI17" i="37"/>
  <c r="AI18" i="37"/>
  <c r="AI19" i="37"/>
  <c r="AI20" i="37"/>
  <c r="AI21" i="37"/>
  <c r="AI22" i="37"/>
  <c r="AI14" i="37"/>
  <c r="AH22" i="37"/>
  <c r="AH21" i="37"/>
  <c r="AH20" i="37"/>
  <c r="AH19" i="37"/>
  <c r="AH18" i="37"/>
  <c r="AJ18" i="37" s="1"/>
  <c r="AK18" i="37" s="1"/>
  <c r="AH17" i="37"/>
  <c r="AJ17" i="37" s="1"/>
  <c r="AK17" i="37" s="1"/>
  <c r="AH16" i="37"/>
  <c r="AJ16" i="37" s="1"/>
  <c r="AK16" i="37" s="1"/>
  <c r="AH15" i="37"/>
  <c r="AH14" i="37"/>
  <c r="AV12" i="37"/>
  <c r="AW12" i="37" s="1"/>
  <c r="AV11" i="37"/>
  <c r="AW11" i="37" s="1"/>
  <c r="AV10" i="37"/>
  <c r="AW10" i="37" s="1"/>
  <c r="AV9" i="37"/>
  <c r="AW9" i="37" s="1"/>
  <c r="AV8" i="37"/>
  <c r="AW8" i="37" s="1"/>
  <c r="AU8" i="37"/>
  <c r="AU9" i="37" s="1"/>
  <c r="AU10" i="37" s="1"/>
  <c r="AU11" i="37" s="1"/>
  <c r="AV7" i="37"/>
  <c r="AW7" i="37" s="1"/>
  <c r="AV6" i="37"/>
  <c r="AW5" i="37"/>
  <c r="AV5" i="37"/>
  <c r="AC14" i="38"/>
  <c r="AC15" i="38"/>
  <c r="AC16" i="38"/>
  <c r="AC17" i="38"/>
  <c r="AC18" i="38"/>
  <c r="AC19" i="38"/>
  <c r="AC20" i="38"/>
  <c r="AC21" i="38"/>
  <c r="AC22" i="38"/>
  <c r="AB22" i="38"/>
  <c r="AB21" i="38"/>
  <c r="AB20" i="38"/>
  <c r="AB19" i="38"/>
  <c r="AB18" i="38"/>
  <c r="AB17" i="38"/>
  <c r="AB16" i="38"/>
  <c r="AB15" i="38"/>
  <c r="AD15" i="38" s="1"/>
  <c r="AE15" i="38" s="1"/>
  <c r="AB14" i="38"/>
  <c r="AP12" i="38"/>
  <c r="AQ12" i="38" s="1"/>
  <c r="AP11" i="38"/>
  <c r="AQ11" i="38" s="1"/>
  <c r="AQ10" i="38"/>
  <c r="AP10" i="38"/>
  <c r="AP9" i="38"/>
  <c r="AQ9" i="38" s="1"/>
  <c r="AQ8" i="38"/>
  <c r="AP8" i="38"/>
  <c r="AO8" i="38"/>
  <c r="AO9" i="38" s="1"/>
  <c r="AO10" i="38" s="1"/>
  <c r="AO11" i="38" s="1"/>
  <c r="AP7" i="38"/>
  <c r="AQ7" i="38" s="1"/>
  <c r="AP6" i="38"/>
  <c r="AQ5" i="38"/>
  <c r="AP5" i="38"/>
  <c r="M30" i="37"/>
  <c r="M31" i="37"/>
  <c r="M32" i="37"/>
  <c r="M33" i="37"/>
  <c r="M34" i="37"/>
  <c r="M35" i="37"/>
  <c r="M36" i="37"/>
  <c r="M37" i="37"/>
  <c r="M29" i="37"/>
  <c r="L29" i="37"/>
  <c r="K30" i="37"/>
  <c r="K31" i="37"/>
  <c r="K32" i="37"/>
  <c r="K33" i="37"/>
  <c r="K34" i="37"/>
  <c r="K35" i="37"/>
  <c r="K36" i="37"/>
  <c r="K37" i="37"/>
  <c r="K29" i="37"/>
  <c r="I30" i="37"/>
  <c r="I31" i="37"/>
  <c r="I32" i="37"/>
  <c r="I33" i="37"/>
  <c r="I34" i="37"/>
  <c r="I35" i="37"/>
  <c r="I36" i="37"/>
  <c r="I37" i="37"/>
  <c r="I29" i="37"/>
  <c r="H29" i="37"/>
  <c r="G29" i="37"/>
  <c r="F29" i="37"/>
  <c r="E29" i="37"/>
  <c r="E37" i="38"/>
  <c r="E36" i="38"/>
  <c r="E35" i="38"/>
  <c r="E34" i="38"/>
  <c r="E33" i="38"/>
  <c r="E32" i="38"/>
  <c r="E31" i="38"/>
  <c r="E30" i="38"/>
  <c r="E29" i="38"/>
  <c r="C27" i="38"/>
  <c r="D27" i="38" s="1"/>
  <c r="C26" i="38"/>
  <c r="Q19" i="38" s="1"/>
  <c r="C25" i="38"/>
  <c r="D25" i="38" s="1"/>
  <c r="C24" i="38"/>
  <c r="D24" i="38" s="1"/>
  <c r="S19" i="38"/>
  <c r="P19" i="38"/>
  <c r="P18" i="38"/>
  <c r="S17" i="38"/>
  <c r="P17" i="38"/>
  <c r="S16" i="38"/>
  <c r="P16" i="38"/>
  <c r="S15" i="38"/>
  <c r="P15" i="38"/>
  <c r="E37" i="37"/>
  <c r="E36" i="37"/>
  <c r="E35" i="37"/>
  <c r="E34" i="37"/>
  <c r="E33" i="37"/>
  <c r="E32" i="37"/>
  <c r="E31" i="37"/>
  <c r="E30" i="37"/>
  <c r="C27" i="37"/>
  <c r="C26" i="37"/>
  <c r="C25" i="37"/>
  <c r="D25" i="37" s="1"/>
  <c r="C24" i="37"/>
  <c r="S19" i="37"/>
  <c r="P19" i="37"/>
  <c r="P18" i="37"/>
  <c r="S17" i="37"/>
  <c r="P17" i="37"/>
  <c r="Q17" i="37" s="1"/>
  <c r="S16" i="37"/>
  <c r="P16" i="37"/>
  <c r="S15" i="37"/>
  <c r="P15" i="37"/>
  <c r="AJ21" i="37" l="1"/>
  <c r="AK21" i="37" s="1"/>
  <c r="AJ22" i="37"/>
  <c r="AK22" i="37" s="1"/>
  <c r="AJ19" i="37"/>
  <c r="AK19" i="37" s="1"/>
  <c r="AJ15" i="37"/>
  <c r="AK15" i="37" s="1"/>
  <c r="AJ20" i="37"/>
  <c r="AK20" i="37" s="1"/>
  <c r="AJ14" i="37"/>
  <c r="AK14" i="37" s="1"/>
  <c r="AD16" i="38"/>
  <c r="AE16" i="38" s="1"/>
  <c r="AD17" i="38"/>
  <c r="AE17" i="38" s="1"/>
  <c r="AD22" i="38"/>
  <c r="AE22" i="38" s="1"/>
  <c r="AD19" i="38"/>
  <c r="AE19" i="38" s="1"/>
  <c r="AD21" i="38"/>
  <c r="AE21" i="38" s="1"/>
  <c r="AD14" i="38"/>
  <c r="AD20" i="38"/>
  <c r="AE20" i="38" s="1"/>
  <c r="AD18" i="38"/>
  <c r="AE18" i="38" s="1"/>
  <c r="Q17" i="38"/>
  <c r="F33" i="38"/>
  <c r="G33" i="38" s="1"/>
  <c r="H33" i="38" s="1"/>
  <c r="J33" i="38" s="1"/>
  <c r="F29" i="38"/>
  <c r="G29" i="38" s="1"/>
  <c r="H29" i="38" s="1"/>
  <c r="J29" i="38" s="1"/>
  <c r="Q15" i="38"/>
  <c r="F33" i="37"/>
  <c r="G33" i="37" s="1"/>
  <c r="H33" i="37" s="1"/>
  <c r="F30" i="37"/>
  <c r="G30" i="37" s="1"/>
  <c r="H30" i="37" s="1"/>
  <c r="F34" i="37"/>
  <c r="G34" i="37" s="1"/>
  <c r="H34" i="37" s="1"/>
  <c r="F32" i="37"/>
  <c r="G32" i="37" s="1"/>
  <c r="H32" i="37" s="1"/>
  <c r="Q15" i="37"/>
  <c r="Q19" i="37"/>
  <c r="F31" i="37"/>
  <c r="G31" i="37" s="1"/>
  <c r="H31" i="37" s="1"/>
  <c r="F35" i="37"/>
  <c r="G35" i="37" s="1"/>
  <c r="H35" i="37" s="1"/>
  <c r="D26" i="37"/>
  <c r="F36" i="37"/>
  <c r="G36" i="37" s="1"/>
  <c r="H36" i="37" s="1"/>
  <c r="D27" i="37"/>
  <c r="Q16" i="37"/>
  <c r="D24" i="37"/>
  <c r="F37" i="37"/>
  <c r="G37" i="37" s="1"/>
  <c r="H37" i="37" s="1"/>
  <c r="F34" i="38"/>
  <c r="G34" i="38" s="1"/>
  <c r="H34" i="38" s="1"/>
  <c r="J34" i="38" s="1"/>
  <c r="F35" i="38"/>
  <c r="G35" i="38" s="1"/>
  <c r="H35" i="38" s="1"/>
  <c r="J35" i="38" s="1"/>
  <c r="F32" i="38"/>
  <c r="G32" i="38" s="1"/>
  <c r="H32" i="38" s="1"/>
  <c r="J32" i="38" s="1"/>
  <c r="Q16" i="38"/>
  <c r="F30" i="38"/>
  <c r="G30" i="38" s="1"/>
  <c r="H30" i="38" s="1"/>
  <c r="J30" i="38" s="1"/>
  <c r="F36" i="38"/>
  <c r="G36" i="38" s="1"/>
  <c r="H36" i="38" s="1"/>
  <c r="J36" i="38" s="1"/>
  <c r="F31" i="38"/>
  <c r="G31" i="38" s="1"/>
  <c r="H31" i="38" s="1"/>
  <c r="J31" i="38" s="1"/>
  <c r="F37" i="38"/>
  <c r="G37" i="38" s="1"/>
  <c r="H37" i="38" s="1"/>
  <c r="J37" i="38" s="1"/>
  <c r="D26" i="38"/>
  <c r="K29" i="38" l="1"/>
  <c r="L36" i="38" s="1"/>
  <c r="L34" i="38" l="1"/>
  <c r="L31" i="38"/>
  <c r="L33" i="38"/>
  <c r="L35" i="38"/>
  <c r="L29" i="38"/>
  <c r="L32" i="38"/>
  <c r="L30" i="38"/>
  <c r="L37" i="38"/>
  <c r="E26" i="4"/>
  <c r="Q44" i="35"/>
  <c r="R44" i="35" s="1"/>
  <c r="S44" i="35" s="1"/>
  <c r="T44" i="35" s="1"/>
  <c r="V44" i="35" s="1"/>
  <c r="Q43" i="35"/>
  <c r="R43" i="35" s="1"/>
  <c r="S43" i="35" s="1"/>
  <c r="T43" i="35" s="1"/>
  <c r="V43" i="35" s="1"/>
  <c r="Q42" i="35"/>
  <c r="R42" i="35" s="1"/>
  <c r="S42" i="35" s="1"/>
  <c r="T42" i="35" s="1"/>
  <c r="V42" i="35" s="1"/>
  <c r="Q41" i="35"/>
  <c r="R41" i="35" s="1"/>
  <c r="S41" i="35" s="1"/>
  <c r="T41" i="35" s="1"/>
  <c r="V41" i="35" s="1"/>
  <c r="Q40" i="35"/>
  <c r="R40" i="35" s="1"/>
  <c r="S40" i="35" s="1"/>
  <c r="T40" i="35" s="1"/>
  <c r="V40" i="35" s="1"/>
  <c r="Q39" i="35"/>
  <c r="R39" i="35" s="1"/>
  <c r="S39" i="35" s="1"/>
  <c r="T39" i="35" s="1"/>
  <c r="V39" i="35" s="1"/>
  <c r="Q38" i="35"/>
  <c r="R38" i="35" s="1"/>
  <c r="S38" i="35" s="1"/>
  <c r="T38" i="35" s="1"/>
  <c r="V38" i="35" s="1"/>
  <c r="Q37" i="35"/>
  <c r="R37" i="35" s="1"/>
  <c r="S37" i="35" s="1"/>
  <c r="T37" i="35" s="1"/>
  <c r="V37" i="35" s="1"/>
  <c r="Q36" i="35"/>
  <c r="R36" i="35" s="1"/>
  <c r="S36" i="35" s="1"/>
  <c r="T36" i="35" s="1"/>
  <c r="V36" i="35" s="1"/>
  <c r="AR35" i="35"/>
  <c r="AS35" i="35" s="1"/>
  <c r="AT35" i="35" s="1"/>
  <c r="AU35" i="35" s="1"/>
  <c r="Q35" i="35"/>
  <c r="R35" i="35" s="1"/>
  <c r="S35" i="35" s="1"/>
  <c r="T35" i="35" s="1"/>
  <c r="V35" i="35" s="1"/>
  <c r="AR34" i="35"/>
  <c r="AS34" i="35" s="1"/>
  <c r="AT34" i="35" s="1"/>
  <c r="AU34" i="35" s="1"/>
  <c r="Q34" i="35"/>
  <c r="R34" i="35" s="1"/>
  <c r="S34" i="35" s="1"/>
  <c r="T34" i="35" s="1"/>
  <c r="V34" i="35" s="1"/>
  <c r="AR33" i="35"/>
  <c r="AS33" i="35" s="1"/>
  <c r="AT33" i="35" s="1"/>
  <c r="AU33" i="35" s="1"/>
  <c r="AD33" i="35"/>
  <c r="AE33" i="35" s="1"/>
  <c r="Q33" i="35"/>
  <c r="R33" i="35" s="1"/>
  <c r="S33" i="35" s="1"/>
  <c r="T33" i="35" s="1"/>
  <c r="V33" i="35" s="1"/>
  <c r="AR32" i="35"/>
  <c r="AS32" i="35" s="1"/>
  <c r="AT32" i="35" s="1"/>
  <c r="AU32" i="35" s="1"/>
  <c r="AD32" i="35"/>
  <c r="AE32" i="35" s="1"/>
  <c r="Q32" i="35"/>
  <c r="R32" i="35" s="1"/>
  <c r="S32" i="35" s="1"/>
  <c r="T32" i="35" s="1"/>
  <c r="V32" i="35" s="1"/>
  <c r="AR31" i="35"/>
  <c r="AS31" i="35" s="1"/>
  <c r="AT31" i="35" s="1"/>
  <c r="AU31" i="35" s="1"/>
  <c r="AD31" i="35"/>
  <c r="AE31" i="35" s="1"/>
  <c r="Q31" i="35"/>
  <c r="R31" i="35" s="1"/>
  <c r="S31" i="35" s="1"/>
  <c r="T31" i="35" s="1"/>
  <c r="V31" i="35" s="1"/>
  <c r="D31" i="35"/>
  <c r="AS30" i="35"/>
  <c r="AT30" i="35" s="1"/>
  <c r="AU30" i="35" s="1"/>
  <c r="AR30" i="35"/>
  <c r="AD30" i="35"/>
  <c r="AE30" i="35" s="1"/>
  <c r="R30" i="35"/>
  <c r="S30" i="35" s="1"/>
  <c r="T30" i="35" s="1"/>
  <c r="V30" i="35" s="1"/>
  <c r="Q30" i="35"/>
  <c r="D30" i="35"/>
  <c r="E30" i="35" s="1"/>
  <c r="AS29" i="35"/>
  <c r="AT29" i="35" s="1"/>
  <c r="AU29" i="35" s="1"/>
  <c r="AR29" i="35"/>
  <c r="AE29" i="35"/>
  <c r="AD29" i="35"/>
  <c r="R29" i="35"/>
  <c r="S29" i="35" s="1"/>
  <c r="T29" i="35" s="1"/>
  <c r="V29" i="35" s="1"/>
  <c r="Q29" i="35"/>
  <c r="E29" i="35"/>
  <c r="D29" i="35"/>
  <c r="AS28" i="35"/>
  <c r="AT28" i="35" s="1"/>
  <c r="AU28" i="35" s="1"/>
  <c r="AR28" i="35"/>
  <c r="AE28" i="35"/>
  <c r="AD28" i="35"/>
  <c r="R28" i="35"/>
  <c r="S28" i="35" s="1"/>
  <c r="T28" i="35" s="1"/>
  <c r="V28" i="35" s="1"/>
  <c r="Q28" i="35"/>
  <c r="E28" i="35"/>
  <c r="D28" i="35"/>
  <c r="AR27" i="35"/>
  <c r="AS27" i="35" s="1"/>
  <c r="AT27" i="35" s="1"/>
  <c r="AU27" i="35" s="1"/>
  <c r="AD27" i="35"/>
  <c r="Q27" i="35"/>
  <c r="R27" i="35" s="1"/>
  <c r="S27" i="35" s="1"/>
  <c r="T27" i="35" s="1"/>
  <c r="V27" i="35" s="1"/>
  <c r="D27" i="35"/>
  <c r="AS26" i="35"/>
  <c r="AT26" i="35" s="1"/>
  <c r="AU26" i="35" s="1"/>
  <c r="AR26" i="35"/>
  <c r="AE26" i="35"/>
  <c r="AD26" i="35"/>
  <c r="R26" i="35"/>
  <c r="S26" i="35" s="1"/>
  <c r="T26" i="35" s="1"/>
  <c r="V26" i="35" s="1"/>
  <c r="Q26" i="35"/>
  <c r="E26" i="35"/>
  <c r="D26" i="35"/>
  <c r="AS25" i="35"/>
  <c r="AT25" i="35" s="1"/>
  <c r="AU25" i="35" s="1"/>
  <c r="AR25" i="35"/>
  <c r="Q25" i="35"/>
  <c r="R25" i="35" s="1"/>
  <c r="S25" i="35" s="1"/>
  <c r="T25" i="35" s="1"/>
  <c r="V25" i="35" s="1"/>
  <c r="AR24" i="35"/>
  <c r="AS24" i="35" s="1"/>
  <c r="AT24" i="35" s="1"/>
  <c r="AU24" i="35" s="1"/>
  <c r="AR23" i="35"/>
  <c r="AS23" i="35" s="1"/>
  <c r="AT23" i="35" s="1"/>
  <c r="AU23" i="35" s="1"/>
  <c r="AR22" i="35"/>
  <c r="AS22" i="35" s="1"/>
  <c r="AT22" i="35" s="1"/>
  <c r="AU22" i="35" s="1"/>
  <c r="AR21" i="35"/>
  <c r="AS21" i="35" s="1"/>
  <c r="AT21" i="35" s="1"/>
  <c r="AU21" i="35" s="1"/>
  <c r="AR20" i="35"/>
  <c r="AS20" i="35" s="1"/>
  <c r="AT20" i="35" s="1"/>
  <c r="AU20" i="35" s="1"/>
  <c r="AR19" i="35"/>
  <c r="AS19" i="35" s="1"/>
  <c r="AT19" i="35" s="1"/>
  <c r="AU19" i="35" s="1"/>
  <c r="AR18" i="35"/>
  <c r="AS18" i="35" s="1"/>
  <c r="AT18" i="35" s="1"/>
  <c r="AU18" i="35" s="1"/>
  <c r="AR17" i="35"/>
  <c r="AS17" i="35" s="1"/>
  <c r="AT17" i="35" s="1"/>
  <c r="AU17" i="35" s="1"/>
  <c r="AR16" i="35"/>
  <c r="AS16" i="35" s="1"/>
  <c r="AT16" i="35" s="1"/>
  <c r="AU16" i="35" s="1"/>
  <c r="M24" i="33"/>
  <c r="N24" i="33"/>
  <c r="O24" i="33"/>
  <c r="P24" i="33"/>
  <c r="Q24" i="33"/>
  <c r="L24" i="33"/>
  <c r="M23" i="33"/>
  <c r="N23" i="33"/>
  <c r="O23" i="33"/>
  <c r="P23" i="33"/>
  <c r="Q23" i="33"/>
  <c r="L23" i="33"/>
  <c r="L20" i="33"/>
  <c r="M16" i="33"/>
  <c r="N16" i="33"/>
  <c r="O16" i="33"/>
  <c r="P16" i="33"/>
  <c r="Q16" i="33"/>
  <c r="L16" i="33"/>
  <c r="M15" i="33"/>
  <c r="N15" i="33"/>
  <c r="O15" i="33"/>
  <c r="P15" i="33"/>
  <c r="Q15" i="33"/>
  <c r="Q19" i="33" s="1"/>
  <c r="L15" i="33"/>
  <c r="M14" i="33"/>
  <c r="N14" i="33"/>
  <c r="O14" i="33"/>
  <c r="P14" i="33"/>
  <c r="Q14" i="33"/>
  <c r="L14" i="33"/>
  <c r="M5" i="33"/>
  <c r="N5" i="33"/>
  <c r="P5" i="33"/>
  <c r="P9" i="33" s="1"/>
  <c r="O4" i="33"/>
  <c r="P4" i="33"/>
  <c r="L4" i="33"/>
  <c r="R5" i="33"/>
  <c r="O5" i="33" s="1"/>
  <c r="O9" i="33" s="1"/>
  <c r="R4" i="33"/>
  <c r="Q4" i="33" s="1"/>
  <c r="R16" i="33"/>
  <c r="O20" i="33"/>
  <c r="R15" i="33"/>
  <c r="O19" i="33"/>
  <c r="N19" i="33"/>
  <c r="R14" i="33"/>
  <c r="P19" i="33"/>
  <c r="R6" i="33"/>
  <c r="M6" i="33" s="1"/>
  <c r="Y25" i="35" l="1"/>
  <c r="W34" i="35" s="1"/>
  <c r="W41" i="35"/>
  <c r="W43" i="35"/>
  <c r="M20" i="33"/>
  <c r="N4" i="33"/>
  <c r="N9" i="33" s="1"/>
  <c r="L6" i="33"/>
  <c r="L19" i="33"/>
  <c r="M4" i="33"/>
  <c r="M10" i="33" s="1"/>
  <c r="Q6" i="33"/>
  <c r="Q10" i="33" s="1"/>
  <c r="M19" i="33"/>
  <c r="N20" i="33"/>
  <c r="L5" i="33"/>
  <c r="P6" i="33"/>
  <c r="P10" i="33" s="1"/>
  <c r="Q5" i="33"/>
  <c r="O6" i="33"/>
  <c r="O10" i="33" s="1"/>
  <c r="N6" i="33"/>
  <c r="P20" i="33"/>
  <c r="Q20" i="33"/>
  <c r="L9" i="33"/>
  <c r="Q9" i="33"/>
  <c r="L10" i="33"/>
  <c r="N10" i="33"/>
  <c r="W39" i="35" l="1"/>
  <c r="W37" i="35"/>
  <c r="W33" i="35"/>
  <c r="W35" i="35"/>
  <c r="W40" i="35"/>
  <c r="W36" i="35"/>
  <c r="W32" i="35"/>
  <c r="W27" i="35"/>
  <c r="W44" i="35"/>
  <c r="W38" i="35"/>
  <c r="W30" i="35"/>
  <c r="W29" i="35"/>
  <c r="W25" i="35"/>
  <c r="W28" i="35"/>
  <c r="W31" i="35"/>
  <c r="W42" i="35"/>
  <c r="W26" i="35"/>
  <c r="M9" i="33"/>
  <c r="R4" i="31" l="1"/>
  <c r="N7" i="30"/>
  <c r="R6" i="30"/>
  <c r="L6" i="30" s="1"/>
  <c r="L7" i="30" s="1"/>
  <c r="Q6" i="30"/>
  <c r="P6" i="30"/>
  <c r="O6" i="30"/>
  <c r="N6" i="30"/>
  <c r="M6" i="30"/>
  <c r="M7" i="30" s="1"/>
  <c r="R5" i="30"/>
  <c r="Q5" i="30" s="1"/>
  <c r="Q7" i="30" s="1"/>
  <c r="N5" i="30"/>
  <c r="M5" i="30"/>
  <c r="L5" i="30"/>
  <c r="M5" i="23"/>
  <c r="N5" i="23"/>
  <c r="O5" i="23"/>
  <c r="P5" i="23"/>
  <c r="Q5" i="23"/>
  <c r="L5" i="23"/>
  <c r="R5" i="23"/>
  <c r="M4" i="23"/>
  <c r="N4" i="23"/>
  <c r="O4" i="23"/>
  <c r="P4" i="23"/>
  <c r="Q4" i="23"/>
  <c r="L4" i="23"/>
  <c r="R4" i="23"/>
  <c r="L6" i="31" l="1"/>
  <c r="N6" i="31"/>
  <c r="P6" i="31"/>
  <c r="Q6" i="31"/>
  <c r="M6" i="31"/>
  <c r="O6" i="31"/>
  <c r="O5" i="30"/>
  <c r="O7" i="30" s="1"/>
  <c r="P5" i="30"/>
  <c r="P7" i="30" s="1"/>
  <c r="M9" i="28"/>
  <c r="L5" i="28"/>
  <c r="M12" i="28" s="1"/>
  <c r="K5" i="28"/>
  <c r="M5" i="28" s="1"/>
  <c r="K13" i="28"/>
  <c r="K12" i="28"/>
  <c r="K11" i="28"/>
  <c r="M11" i="28" s="1"/>
  <c r="K10" i="28"/>
  <c r="M10" i="28" s="1"/>
  <c r="K9" i="28"/>
  <c r="K8" i="28"/>
  <c r="M8" i="28" s="1"/>
  <c r="K7" i="28"/>
  <c r="M7" i="28" s="1"/>
  <c r="K6" i="28"/>
  <c r="M6" i="28" s="1"/>
  <c r="O6" i="23" l="1"/>
  <c r="M6" i="23"/>
  <c r="N6" i="23"/>
  <c r="M13" i="28"/>
  <c r="K21" i="27"/>
  <c r="J21" i="27"/>
  <c r="I21" i="27"/>
  <c r="G22" i="27"/>
  <c r="G23" i="27"/>
  <c r="G24" i="27"/>
  <c r="G25" i="27"/>
  <c r="G26" i="27"/>
  <c r="G27" i="27"/>
  <c r="G28" i="27"/>
  <c r="G29" i="27"/>
  <c r="G30" i="27"/>
  <c r="G21" i="27"/>
  <c r="F22" i="27"/>
  <c r="F23" i="27"/>
  <c r="F24" i="27"/>
  <c r="F25" i="27"/>
  <c r="F26" i="27"/>
  <c r="F27" i="27"/>
  <c r="F28" i="27"/>
  <c r="F29" i="27"/>
  <c r="F30" i="27"/>
  <c r="F21" i="27"/>
  <c r="E27" i="27"/>
  <c r="E28" i="27"/>
  <c r="E29" i="27"/>
  <c r="E30" i="27"/>
  <c r="E26" i="27"/>
  <c r="E25" i="27"/>
  <c r="E22" i="27"/>
  <c r="E23" i="27"/>
  <c r="E24" i="27"/>
  <c r="E21" i="27"/>
  <c r="Q17" i="27"/>
  <c r="Q16" i="27"/>
  <c r="Q15" i="27"/>
  <c r="Q14" i="27"/>
  <c r="Q13" i="27"/>
  <c r="Q12" i="27"/>
  <c r="B8" i="25"/>
  <c r="J6" i="25" s="1"/>
  <c r="E31" i="20"/>
  <c r="F31" i="20" s="1"/>
  <c r="G31" i="20" s="1"/>
  <c r="I31" i="20" s="1"/>
  <c r="E32" i="20"/>
  <c r="F32" i="20" s="1"/>
  <c r="G32" i="20" s="1"/>
  <c r="I32" i="20" s="1"/>
  <c r="E30" i="20"/>
  <c r="F30" i="20" s="1"/>
  <c r="G30" i="20" s="1"/>
  <c r="I30" i="20" s="1"/>
  <c r="E28" i="20"/>
  <c r="F28" i="20" s="1"/>
  <c r="G28" i="20" s="1"/>
  <c r="I28" i="20" s="1"/>
  <c r="E29" i="20"/>
  <c r="F29" i="20" s="1"/>
  <c r="G29" i="20" s="1"/>
  <c r="I29" i="20" s="1"/>
  <c r="E27" i="20"/>
  <c r="E25" i="20"/>
  <c r="E26" i="20"/>
  <c r="E24" i="20"/>
  <c r="F24" i="20" s="1"/>
  <c r="G24" i="20" s="1"/>
  <c r="I24" i="20" s="1"/>
  <c r="E23" i="20"/>
  <c r="E22" i="20"/>
  <c r="F22" i="20" s="1"/>
  <c r="G22" i="20" s="1"/>
  <c r="I22" i="20" s="1"/>
  <c r="E21" i="20"/>
  <c r="F21" i="20" s="1"/>
  <c r="G21" i="20" s="1"/>
  <c r="I21" i="20" s="1"/>
  <c r="Q17" i="20"/>
  <c r="F26" i="20" s="1"/>
  <c r="G26" i="20" s="1"/>
  <c r="I26" i="20" s="1"/>
  <c r="Q16" i="20"/>
  <c r="Q15" i="20"/>
  <c r="Q14" i="20"/>
  <c r="Q13" i="20"/>
  <c r="Q12" i="20"/>
  <c r="L6" i="23" l="1"/>
  <c r="Q6" i="23"/>
  <c r="P6" i="23"/>
  <c r="I26" i="27"/>
  <c r="I27" i="27"/>
  <c r="R12" i="27"/>
  <c r="I28" i="27"/>
  <c r="R13" i="27"/>
  <c r="I22" i="27"/>
  <c r="I29" i="27"/>
  <c r="R14" i="27"/>
  <c r="I23" i="27"/>
  <c r="R15" i="27"/>
  <c r="I24" i="27"/>
  <c r="I30" i="27"/>
  <c r="R17" i="27"/>
  <c r="R16" i="27"/>
  <c r="I25" i="27"/>
  <c r="F23" i="20"/>
  <c r="G23" i="20" s="1"/>
  <c r="I23" i="20" s="1"/>
  <c r="J21" i="20" s="1"/>
  <c r="F25" i="20"/>
  <c r="G25" i="20" s="1"/>
  <c r="I25" i="20" s="1"/>
  <c r="F27" i="20"/>
  <c r="G27" i="20" s="1"/>
  <c r="I27" i="20" s="1"/>
  <c r="I5" i="25"/>
  <c r="J5" i="25"/>
  <c r="H5" i="25"/>
  <c r="H6" i="25"/>
  <c r="G6" i="25"/>
  <c r="I6" i="25"/>
  <c r="R12" i="20"/>
  <c r="K23" i="20" l="1"/>
  <c r="K32" i="20"/>
  <c r="K29" i="20"/>
  <c r="K24" i="20"/>
  <c r="K28" i="20"/>
  <c r="K31" i="20"/>
  <c r="K26" i="20"/>
  <c r="K30" i="20"/>
  <c r="K25" i="20"/>
  <c r="K27" i="20"/>
  <c r="K22" i="20"/>
  <c r="K21" i="20"/>
  <c r="K29" i="27" l="1"/>
  <c r="K24" i="27"/>
  <c r="K30" i="27"/>
  <c r="K22" i="27"/>
  <c r="K23" i="27"/>
  <c r="K25" i="27"/>
  <c r="K28" i="27"/>
  <c r="K26" i="27"/>
  <c r="K27" i="27"/>
  <c r="R17" i="20"/>
  <c r="R16" i="20"/>
  <c r="R15" i="20"/>
  <c r="R14" i="20"/>
  <c r="R4" i="16"/>
  <c r="M4" i="16" s="1"/>
  <c r="R5" i="19"/>
  <c r="M5" i="19" s="1"/>
  <c r="M6" i="19" s="1"/>
  <c r="R4" i="19"/>
  <c r="P4" i="19" s="1"/>
  <c r="O4" i="19"/>
  <c r="N4" i="19"/>
  <c r="M4" i="19"/>
  <c r="L4" i="19"/>
  <c r="R5" i="16"/>
  <c r="O5" i="16" s="1"/>
  <c r="Q5" i="16"/>
  <c r="P5" i="16"/>
  <c r="N4" i="16"/>
  <c r="L4" i="16"/>
  <c r="R13" i="20" l="1"/>
  <c r="O4" i="16"/>
  <c r="O6" i="16" s="1"/>
  <c r="Q4" i="19"/>
  <c r="N5" i="19"/>
  <c r="N6" i="19"/>
  <c r="P5" i="19"/>
  <c r="P6" i="19" s="1"/>
  <c r="Q5" i="19"/>
  <c r="Q6" i="19" s="1"/>
  <c r="O5" i="19"/>
  <c r="O6" i="19" s="1"/>
  <c r="L5" i="19"/>
  <c r="L6" i="19" s="1"/>
  <c r="Q6" i="16"/>
  <c r="P4" i="16"/>
  <c r="P6" i="16" s="1"/>
  <c r="Q4" i="16"/>
  <c r="L5" i="16"/>
  <c r="L6" i="16" s="1"/>
  <c r="M5" i="16"/>
  <c r="M6" i="16" s="1"/>
  <c r="N5" i="16"/>
  <c r="N6" i="16" s="1"/>
  <c r="AA26" i="4" l="1"/>
  <c r="AB26" i="4" s="1"/>
  <c r="AC26" i="4" s="1"/>
  <c r="AD26" i="4" s="1"/>
  <c r="AA27" i="4"/>
  <c r="AB27" i="4" s="1"/>
  <c r="AC27" i="4" s="1"/>
  <c r="AD27" i="4" s="1"/>
  <c r="AA28" i="4"/>
  <c r="AB28" i="4" s="1"/>
  <c r="AC28" i="4" s="1"/>
  <c r="AD28" i="4" s="1"/>
  <c r="AA29" i="4"/>
  <c r="AB29" i="4" s="1"/>
  <c r="AC29" i="4" s="1"/>
  <c r="AD29" i="4" s="1"/>
  <c r="AA30" i="4"/>
  <c r="AB30" i="4" s="1"/>
  <c r="AC30" i="4" s="1"/>
  <c r="AD30" i="4" s="1"/>
  <c r="AA31" i="4"/>
  <c r="AB31" i="4" s="1"/>
  <c r="AC31" i="4" s="1"/>
  <c r="AD31" i="4" s="1"/>
  <c r="AA32" i="4"/>
  <c r="AB32" i="4" s="1"/>
  <c r="AC32" i="4" s="1"/>
  <c r="AD32" i="4" s="1"/>
  <c r="AA33" i="4"/>
  <c r="AB33" i="4" s="1"/>
  <c r="AC33" i="4" s="1"/>
  <c r="AD33" i="4" s="1"/>
  <c r="AA34" i="4"/>
  <c r="AB34" i="4" s="1"/>
  <c r="AC34" i="4" s="1"/>
  <c r="AD34" i="4" s="1"/>
  <c r="AA35" i="4"/>
  <c r="AB35" i="4" s="1"/>
  <c r="AC35" i="4" s="1"/>
  <c r="AD35" i="4" s="1"/>
  <c r="AA36" i="4"/>
  <c r="AB36" i="4" s="1"/>
  <c r="AC36" i="4" s="1"/>
  <c r="AD36" i="4" s="1"/>
  <c r="AA37" i="4"/>
  <c r="AB37" i="4" s="1"/>
  <c r="AC37" i="4" s="1"/>
  <c r="AD37" i="4" s="1"/>
  <c r="AA38" i="4"/>
  <c r="AB38" i="4" s="1"/>
  <c r="AC38" i="4" s="1"/>
  <c r="AD38" i="4" s="1"/>
  <c r="AA39" i="4"/>
  <c r="AB39" i="4" s="1"/>
  <c r="AC39" i="4" s="1"/>
  <c r="AD39" i="4" s="1"/>
  <c r="AA40" i="4"/>
  <c r="AB40" i="4" s="1"/>
  <c r="AC40" i="4" s="1"/>
  <c r="AD40" i="4" s="1"/>
  <c r="AA41" i="4"/>
  <c r="AB41" i="4" s="1"/>
  <c r="AC41" i="4" s="1"/>
  <c r="AD41" i="4" s="1"/>
  <c r="AA42" i="4"/>
  <c r="AB42" i="4" s="1"/>
  <c r="AC42" i="4" s="1"/>
  <c r="AD42" i="4" s="1"/>
  <c r="AA43" i="4"/>
  <c r="AB43" i="4" s="1"/>
  <c r="AC43" i="4" s="1"/>
  <c r="AD43" i="4" s="1"/>
  <c r="AA44" i="4"/>
  <c r="AB44" i="4" s="1"/>
  <c r="AC44" i="4" s="1"/>
  <c r="AD44" i="4" s="1"/>
  <c r="AA45" i="4"/>
  <c r="AB45" i="4" s="1"/>
  <c r="AC45" i="4" s="1"/>
  <c r="AD45" i="4" s="1"/>
  <c r="AA46" i="4"/>
  <c r="AB46" i="4" s="1"/>
  <c r="AC46" i="4" s="1"/>
  <c r="AD46" i="4" s="1"/>
  <c r="AA47" i="4"/>
  <c r="AB47" i="4" s="1"/>
  <c r="AC47" i="4" s="1"/>
  <c r="AD47" i="4" s="1"/>
  <c r="AA48" i="4"/>
  <c r="AB48" i="4" s="1"/>
  <c r="AC48" i="4" s="1"/>
  <c r="AD48" i="4" s="1"/>
  <c r="AA49" i="4"/>
  <c r="AB49" i="4" s="1"/>
  <c r="AC49" i="4" s="1"/>
  <c r="AD49" i="4" s="1"/>
  <c r="AN23" i="4"/>
  <c r="AO23" i="4" s="1"/>
  <c r="AN22" i="4"/>
  <c r="AO22" i="4" s="1"/>
  <c r="AN21" i="4"/>
  <c r="AO21" i="4" s="1"/>
  <c r="AN20" i="4"/>
  <c r="AO20" i="4" s="1"/>
  <c r="AN19" i="4"/>
  <c r="AO19" i="4" s="1"/>
  <c r="AN18" i="4"/>
  <c r="AO18" i="4" s="1"/>
  <c r="AN17" i="4"/>
  <c r="AO17" i="4" s="1"/>
  <c r="AM17" i="4"/>
  <c r="AM18" i="4" s="1"/>
  <c r="AM19" i="4" s="1"/>
  <c r="AM20" i="4" s="1"/>
  <c r="AM21" i="4" s="1"/>
  <c r="AM22" i="4" s="1"/>
  <c r="AN16" i="4"/>
  <c r="AO16" i="4" s="1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T17" i="4"/>
  <c r="T21" i="4"/>
  <c r="Q21" i="4"/>
  <c r="T20" i="4"/>
  <c r="Q20" i="4"/>
  <c r="T19" i="4"/>
  <c r="Q19" i="4"/>
  <c r="T18" i="4"/>
  <c r="Q18" i="4"/>
  <c r="Q17" i="4"/>
  <c r="Q13" i="4"/>
  <c r="Q16" i="4" s="1"/>
  <c r="Q14" i="4" l="1"/>
  <c r="Q15" i="4"/>
  <c r="F36" i="4" s="1"/>
  <c r="G36" i="4" s="1"/>
  <c r="H36" i="4" s="1"/>
  <c r="J36" i="4" s="1"/>
  <c r="F32" i="4" l="1"/>
  <c r="G32" i="4" s="1"/>
  <c r="H32" i="4" s="1"/>
  <c r="J32" i="4" s="1"/>
  <c r="F31" i="4"/>
  <c r="G31" i="4" s="1"/>
  <c r="H31" i="4" s="1"/>
  <c r="J31" i="4" s="1"/>
  <c r="F44" i="4"/>
  <c r="G44" i="4" s="1"/>
  <c r="H44" i="4" s="1"/>
  <c r="J44" i="4" s="1"/>
  <c r="F34" i="4"/>
  <c r="G34" i="4" s="1"/>
  <c r="H34" i="4" s="1"/>
  <c r="J34" i="4" s="1"/>
  <c r="F49" i="4"/>
  <c r="G49" i="4" s="1"/>
  <c r="H49" i="4" s="1"/>
  <c r="J49" i="4" s="1"/>
  <c r="F45" i="4"/>
  <c r="G45" i="4" s="1"/>
  <c r="H45" i="4" s="1"/>
  <c r="J45" i="4" s="1"/>
  <c r="F46" i="4"/>
  <c r="G46" i="4" s="1"/>
  <c r="H46" i="4" s="1"/>
  <c r="J46" i="4" s="1"/>
  <c r="L46" i="4" s="1"/>
  <c r="F30" i="4"/>
  <c r="G30" i="4" s="1"/>
  <c r="H30" i="4" s="1"/>
  <c r="J30" i="4" s="1"/>
  <c r="L30" i="4" s="1"/>
  <c r="F43" i="4"/>
  <c r="G43" i="4" s="1"/>
  <c r="H43" i="4" s="1"/>
  <c r="J43" i="4" s="1"/>
  <c r="F41" i="4"/>
  <c r="G41" i="4" s="1"/>
  <c r="H41" i="4" s="1"/>
  <c r="J41" i="4" s="1"/>
  <c r="F48" i="4"/>
  <c r="G48" i="4" s="1"/>
  <c r="H48" i="4" s="1"/>
  <c r="J48" i="4" s="1"/>
  <c r="F47" i="4"/>
  <c r="G47" i="4" s="1"/>
  <c r="H47" i="4" s="1"/>
  <c r="J47" i="4" s="1"/>
  <c r="F37" i="4"/>
  <c r="G37" i="4" s="1"/>
  <c r="H37" i="4" s="1"/>
  <c r="J37" i="4" s="1"/>
  <c r="L37" i="4" s="1"/>
  <c r="F35" i="4"/>
  <c r="G35" i="4" s="1"/>
  <c r="H35" i="4" s="1"/>
  <c r="J35" i="4" s="1"/>
  <c r="R20" i="4"/>
  <c r="F26" i="4"/>
  <c r="G26" i="4" s="1"/>
  <c r="H26" i="4" s="1"/>
  <c r="J26" i="4" s="1"/>
  <c r="N26" i="4" s="1"/>
  <c r="L42" i="4" s="1"/>
  <c r="F38" i="4"/>
  <c r="G38" i="4" s="1"/>
  <c r="H38" i="4" s="1"/>
  <c r="J38" i="4" s="1"/>
  <c r="F42" i="4"/>
  <c r="G42" i="4" s="1"/>
  <c r="H42" i="4" s="1"/>
  <c r="J42" i="4" s="1"/>
  <c r="F33" i="4"/>
  <c r="G33" i="4" s="1"/>
  <c r="H33" i="4" s="1"/>
  <c r="J33" i="4" s="1"/>
  <c r="F40" i="4"/>
  <c r="G40" i="4" s="1"/>
  <c r="H40" i="4" s="1"/>
  <c r="J40" i="4" s="1"/>
  <c r="L40" i="4" s="1"/>
  <c r="F39" i="4"/>
  <c r="G39" i="4" s="1"/>
  <c r="H39" i="4" s="1"/>
  <c r="J39" i="4" s="1"/>
  <c r="L39" i="4" s="1"/>
  <c r="F29" i="4"/>
  <c r="G29" i="4" s="1"/>
  <c r="H29" i="4" s="1"/>
  <c r="J29" i="4" s="1"/>
  <c r="L29" i="4" s="1"/>
  <c r="F27" i="4"/>
  <c r="G27" i="4" s="1"/>
  <c r="H27" i="4" s="1"/>
  <c r="J27" i="4" s="1"/>
  <c r="L27" i="4" s="1"/>
  <c r="F28" i="4"/>
  <c r="G28" i="4" s="1"/>
  <c r="H28" i="4" s="1"/>
  <c r="J28" i="4" s="1"/>
  <c r="L28" i="4" s="1"/>
  <c r="R14" i="4"/>
  <c r="R18" i="4"/>
  <c r="R16" i="4"/>
  <c r="R15" i="4"/>
  <c r="R19" i="4"/>
  <c r="R21" i="4"/>
  <c r="R17" i="4"/>
  <c r="L31" i="4" l="1"/>
  <c r="L34" i="4"/>
  <c r="L49" i="4"/>
  <c r="L38" i="4"/>
  <c r="L36" i="4"/>
  <c r="L48" i="4"/>
  <c r="L43" i="4"/>
  <c r="L32" i="4"/>
  <c r="L45" i="4"/>
  <c r="L26" i="4"/>
  <c r="L41" i="4"/>
  <c r="L44" i="4"/>
  <c r="L47" i="4"/>
  <c r="L33" i="4"/>
  <c r="L35" i="4"/>
  <c r="S20" i="4"/>
  <c r="S21" i="4"/>
  <c r="S19" i="4"/>
  <c r="S18" i="4"/>
  <c r="S17" i="4"/>
  <c r="Q8" i="74" l="1"/>
  <c r="L8" i="74"/>
  <c r="M8" i="74"/>
  <c r="O8" i="74"/>
  <c r="P8" i="74"/>
  <c r="N8" i="74"/>
  <c r="G64" i="81" l="1"/>
  <c r="H64" i="81" l="1"/>
  <c r="I64" i="81" s="1"/>
  <c r="I65" i="81" l="1"/>
  <c r="I66" i="81"/>
  <c r="I67" i="81"/>
  <c r="I68" i="81"/>
  <c r="I69" i="81"/>
</calcChain>
</file>

<file path=xl/sharedStrings.xml><?xml version="1.0" encoding="utf-8"?>
<sst xmlns="http://schemas.openxmlformats.org/spreadsheetml/2006/main" count="2098" uniqueCount="595">
  <si>
    <t>WT 1</t>
  </si>
  <si>
    <t>WT 2</t>
  </si>
  <si>
    <t>WT 3</t>
  </si>
  <si>
    <t>AQP2 OE 1</t>
  </si>
  <si>
    <t>AQP2 OE 2</t>
  </si>
  <si>
    <t>AQP2 OE 3</t>
  </si>
  <si>
    <t>Average</t>
  </si>
  <si>
    <t xml:space="preserve">Vinculin </t>
  </si>
  <si>
    <t>AQP2</t>
  </si>
  <si>
    <t>AQP2/Vinculin</t>
  </si>
  <si>
    <t>Urate (500 μM)</t>
  </si>
  <si>
    <t>dDAVP (100 nM)</t>
  </si>
  <si>
    <t>Urate 
500 μM</t>
  </si>
  <si>
    <t>WT</t>
  </si>
  <si>
    <r>
      <t>V2r</t>
    </r>
    <r>
      <rPr>
        <b/>
        <sz val="10"/>
        <rFont val="Arial"/>
        <family val="2"/>
      </rPr>
      <t> KD</t>
    </r>
  </si>
  <si>
    <t>TLV</t>
  </si>
  <si>
    <t>Control</t>
  </si>
  <si>
    <t>dDAVP</t>
  </si>
  <si>
    <t>WT1</t>
  </si>
  <si>
    <t>WT2</t>
  </si>
  <si>
    <t>WT3</t>
  </si>
  <si>
    <t>V2R KD1</t>
  </si>
  <si>
    <t>V2R KD2</t>
  </si>
  <si>
    <t>V2R KD3</t>
  </si>
  <si>
    <t>Vinculin</t>
  </si>
  <si>
    <t xml:space="preserve">V2R </t>
  </si>
  <si>
    <t xml:space="preserve">V2R/Vinculin </t>
  </si>
  <si>
    <t>Urate 0 uM</t>
  </si>
  <si>
    <t>Urate 10 uM</t>
  </si>
  <si>
    <t>Urate 50 uM</t>
  </si>
  <si>
    <t>Urate 500 uM</t>
  </si>
  <si>
    <t>Path: C:\Program Files (x86)\BMG\CLARIOstar\User\Data</t>
  </si>
  <si>
    <t>Test ID: 520</t>
  </si>
  <si>
    <t>Test Name: OD570</t>
  </si>
  <si>
    <t>Date: 2/16/2024</t>
  </si>
  <si>
    <t>Time: 5:22:09 PM</t>
  </si>
  <si>
    <t>Fluorescence (FI)</t>
  </si>
  <si>
    <t>Raw Data (535-15/590-20)</t>
  </si>
  <si>
    <t>A</t>
  </si>
  <si>
    <t>nmol/well</t>
  </si>
  <si>
    <t>B</t>
  </si>
  <si>
    <t>C</t>
  </si>
  <si>
    <t>D</t>
  </si>
  <si>
    <t>E</t>
  </si>
  <si>
    <t>F</t>
  </si>
  <si>
    <t>G</t>
  </si>
  <si>
    <t>H</t>
  </si>
  <si>
    <t>OD</t>
  </si>
  <si>
    <t>OD-blank</t>
  </si>
  <si>
    <t>ug (protein) /well</t>
  </si>
  <si>
    <t>nmol/ug (protein)</t>
  </si>
  <si>
    <t>Ratio to urate 0 uM</t>
  </si>
  <si>
    <t>Urate  500 uM</t>
  </si>
  <si>
    <t>Urate 500 uM</t>
  </si>
  <si>
    <t xml:space="preserve">WT </t>
  </si>
  <si>
    <r>
      <rPr>
        <b/>
        <i/>
        <sz val="11"/>
        <color theme="1"/>
        <rFont val="Calibri"/>
        <family val="2"/>
        <scheme val="minor"/>
      </rPr>
      <t>Glut9</t>
    </r>
    <r>
      <rPr>
        <b/>
        <sz val="11"/>
        <color theme="1"/>
        <rFont val="Calibri"/>
        <family val="2"/>
        <scheme val="minor"/>
      </rPr>
      <t xml:space="preserve"> KD</t>
    </r>
  </si>
  <si>
    <t>Glut9 KD1</t>
  </si>
  <si>
    <t>Glut9 KD2</t>
  </si>
  <si>
    <t>Glut9 KD3</t>
  </si>
  <si>
    <t xml:space="preserve">Glut9 </t>
  </si>
  <si>
    <t xml:space="preserve">Glut9 /Vinculin </t>
  </si>
  <si>
    <t>Urate 0 μM</t>
  </si>
  <si>
    <t>Urate 500 μM</t>
  </si>
  <si>
    <r>
      <t>Abcg2</t>
    </r>
    <r>
      <rPr>
        <b/>
        <sz val="10"/>
        <rFont val="Arial"/>
        <family val="2"/>
      </rPr>
      <t> KD</t>
    </r>
  </si>
  <si>
    <t>Date: 3/25/2024</t>
  </si>
  <si>
    <t>Time: 4:11:00 PM</t>
  </si>
  <si>
    <t>Ratio to WT</t>
  </si>
  <si>
    <t>ABCG2 KD</t>
  </si>
  <si>
    <t>protein</t>
  </si>
  <si>
    <t>Uric acid</t>
  </si>
  <si>
    <t>ms vial</t>
  </si>
  <si>
    <t>sample ID</t>
  </si>
  <si>
    <t>study date</t>
  </si>
  <si>
    <t>Sample type</t>
  </si>
  <si>
    <t>Species</t>
  </si>
  <si>
    <t>count</t>
  </si>
  <si>
    <t>grouping</t>
  </si>
  <si>
    <t>mg/vial</t>
  </si>
  <si>
    <t>ng/vial</t>
  </si>
  <si>
    <t>ng/mg</t>
  </si>
  <si>
    <t>Ratio to control</t>
  </si>
  <si>
    <t>ms9511-1</t>
  </si>
  <si>
    <t>cells</t>
  </si>
  <si>
    <t>mouse</t>
  </si>
  <si>
    <t>24 million</t>
  </si>
  <si>
    <t>control</t>
  </si>
  <si>
    <t>ms9511-2</t>
  </si>
  <si>
    <t>ms9511-3</t>
  </si>
  <si>
    <t>ms9511-4</t>
  </si>
  <si>
    <t>Ko</t>
  </si>
  <si>
    <t>ms9511-5</t>
  </si>
  <si>
    <t>ms9511-6</t>
  </si>
  <si>
    <t>ms9511-7</t>
  </si>
  <si>
    <t>PB</t>
  </si>
  <si>
    <t>ms9511-8</t>
  </si>
  <si>
    <t>ms9511-9</t>
  </si>
  <si>
    <t xml:space="preserve">Ko143 (1 uM) </t>
  </si>
  <si>
    <t>PB (100 uM)</t>
  </si>
  <si>
    <t>Ko143 (1 uM)</t>
  </si>
  <si>
    <r>
      <t>V2r </t>
    </r>
    <r>
      <rPr>
        <b/>
        <sz val="10"/>
        <rFont val="Arial"/>
        <family val="2"/>
      </rPr>
      <t>KD</t>
    </r>
  </si>
  <si>
    <r>
      <t>Glut9</t>
    </r>
    <r>
      <rPr>
        <b/>
        <sz val="10"/>
        <rFont val="Arial"/>
        <family val="2"/>
      </rPr>
      <t> KD</t>
    </r>
  </si>
  <si>
    <t>dDAVP+TLV</t>
  </si>
  <si>
    <t>dDAVP+TLV+PB</t>
  </si>
  <si>
    <t>Aqp2 (glyco)</t>
  </si>
  <si>
    <t>Aqp2 (non-glyco)</t>
  </si>
  <si>
    <t>Aqp2 (glyco)/ratio</t>
  </si>
  <si>
    <t>Aqp2 (non-glyco)/ratio</t>
  </si>
  <si>
    <t>p256 (glyco)</t>
  </si>
  <si>
    <t>p256 (non-glyco)</t>
  </si>
  <si>
    <t>p256 (glyco)/ratio</t>
  </si>
  <si>
    <t>p256 (non-glyco)/ratio</t>
  </si>
  <si>
    <t>p256/tot AQP2 (glyco)</t>
  </si>
  <si>
    <t>p256/tot AQP2 (non- glyco)</t>
  </si>
  <si>
    <t>dDAVP (100 nM)</t>
  </si>
  <si>
    <t>S256A </t>
  </si>
  <si>
    <t>PKI 14-22</t>
  </si>
  <si>
    <t>User: USER</t>
  </si>
  <si>
    <t>Test ID: 539</t>
  </si>
  <si>
    <t>Test ID: 525</t>
  </si>
  <si>
    <t>Test Name: Elisa 450</t>
  </si>
  <si>
    <t>Test Name: BCA</t>
  </si>
  <si>
    <t>Date: 2/21/2024</t>
  </si>
  <si>
    <t>Date: 2/19/2024</t>
  </si>
  <si>
    <t>Time: 5:48:19 PM</t>
  </si>
  <si>
    <t>Time: 5:10:16 PM</t>
  </si>
  <si>
    <t>Absorbance</t>
  </si>
  <si>
    <t>Absorbance values are displayed as OD</t>
  </si>
  <si>
    <t>Raw Data (450 1)</t>
  </si>
  <si>
    <t>Raw Data (562)</t>
  </si>
  <si>
    <t>Urate uM</t>
  </si>
  <si>
    <t>OD-Blank</t>
  </si>
  <si>
    <t>ug/mL dil (1:2)</t>
  </si>
  <si>
    <t>ug/mL</t>
  </si>
  <si>
    <t>PKA activity</t>
  </si>
  <si>
    <t>U/mL dil (1:30)</t>
  </si>
  <si>
    <t>U/mL</t>
  </si>
  <si>
    <t>ug/mL protein</t>
  </si>
  <si>
    <t>U/ug</t>
  </si>
  <si>
    <t>% to 0 uM</t>
  </si>
  <si>
    <t>Test ID: 1110</t>
  </si>
  <si>
    <t>Test ID: 1107</t>
  </si>
  <si>
    <t>Test Name: Elisa 405</t>
  </si>
  <si>
    <t>Date: 10/7/2024</t>
  </si>
  <si>
    <t>Time: 4:15:19 PM</t>
  </si>
  <si>
    <t>Time: 3:05:51 PM</t>
  </si>
  <si>
    <t>Mean OD</t>
  </si>
  <si>
    <t>Net OD</t>
  </si>
  <si>
    <t>%B/B0</t>
  </si>
  <si>
    <t>log (pmol/mL)</t>
  </si>
  <si>
    <t>blank</t>
  </si>
  <si>
    <t>Raw Data (405 1)</t>
  </si>
  <si>
    <t>TA</t>
  </si>
  <si>
    <t>NSB</t>
  </si>
  <si>
    <t>Bo</t>
  </si>
  <si>
    <t>S1</t>
  </si>
  <si>
    <t>S2</t>
  </si>
  <si>
    <t>S3</t>
  </si>
  <si>
    <t>S4</t>
  </si>
  <si>
    <t>S5</t>
  </si>
  <si>
    <t>cAMP</t>
  </si>
  <si>
    <t>pmol/mL</t>
  </si>
  <si>
    <t>mg/mL (protein)</t>
  </si>
  <si>
    <t>pmol/mg</t>
  </si>
  <si>
    <t>% to urate 0 uM</t>
  </si>
  <si>
    <t>ug/ml protien</t>
  </si>
  <si>
    <t>mg/ml</t>
  </si>
  <si>
    <t>Test ID: 1199</t>
  </si>
  <si>
    <t>Date: 11/21/2024</t>
  </si>
  <si>
    <t>Time: 3:29:26 PM</t>
  </si>
  <si>
    <t>protein ug/mL</t>
  </si>
  <si>
    <t>mg/mL</t>
  </si>
  <si>
    <t>Urate 0</t>
  </si>
  <si>
    <t>UA 500</t>
  </si>
  <si>
    <t>Blank</t>
  </si>
  <si>
    <t>DO</t>
  </si>
  <si>
    <t>DO-blank</t>
  </si>
  <si>
    <t>mg/mL protein</t>
  </si>
  <si>
    <t>% to Urate 0 uM</t>
  </si>
  <si>
    <t>Test ID: 1058</t>
  </si>
  <si>
    <t>Date: 9/13/2024</t>
  </si>
  <si>
    <t>Time: 4:28:17 PM</t>
  </si>
  <si>
    <t>dil 1:4</t>
  </si>
  <si>
    <t>pmol/ml</t>
  </si>
  <si>
    <t>mg/ml(protien)</t>
  </si>
  <si>
    <t>% to FSK+Urate 0uM</t>
  </si>
  <si>
    <t>FSK+Urate 0 uM</t>
  </si>
  <si>
    <t>FSK+Urate 10 uM</t>
  </si>
  <si>
    <t>FSK+Urate 50 uM</t>
  </si>
  <si>
    <t>FSK+Urate 500 uM</t>
  </si>
  <si>
    <t>UA 0 + FSK</t>
  </si>
  <si>
    <t>UA 500 + FSK</t>
  </si>
  <si>
    <t>Test ID: 1137</t>
  </si>
  <si>
    <t>Date: 10/18/2024</t>
  </si>
  <si>
    <t>Time: 5:30:03 PM</t>
  </si>
  <si>
    <t>Protein</t>
  </si>
  <si>
    <t>% to Control</t>
  </si>
  <si>
    <t>Ko 143</t>
  </si>
  <si>
    <t>Untreated</t>
  </si>
  <si>
    <t>IBMX (50 uM)</t>
  </si>
  <si>
    <t>Rolipram (1 uM)</t>
  </si>
  <si>
    <t>BRL (1uM)</t>
  </si>
  <si>
    <t>Test ID: 1136</t>
  </si>
  <si>
    <t>Test ID: 1133</t>
  </si>
  <si>
    <t>Time: 5:26:36 PM</t>
  </si>
  <si>
    <t>Time: 2:29:20 PM</t>
  </si>
  <si>
    <t xml:space="preserve">Rolipram + Urate 0 uM </t>
  </si>
  <si>
    <t>% to rolipram + Urate uM</t>
  </si>
  <si>
    <t xml:space="preserve">Rolipram + Urate 10 uM </t>
  </si>
  <si>
    <t xml:space="preserve">Rolipram + Urate 50 uM </t>
  </si>
  <si>
    <t xml:space="preserve">Rolipram + Urate 500 uM </t>
  </si>
  <si>
    <t>Test ID: 1111</t>
  </si>
  <si>
    <t>Test ID: 1108</t>
  </si>
  <si>
    <t>Time: 4:18:03 PM</t>
  </si>
  <si>
    <t>Time: 3:09:53 PM</t>
  </si>
  <si>
    <t>% to IBMX+Urate 0uM</t>
  </si>
  <si>
    <t>IBMX +UA 0</t>
  </si>
  <si>
    <t>ug/ml</t>
  </si>
  <si>
    <t>IBMX +UA 10</t>
  </si>
  <si>
    <t>IBMX +UA 50</t>
  </si>
  <si>
    <t>IBMX +UA 500</t>
  </si>
  <si>
    <t>MR-L2 (50 uM)</t>
  </si>
  <si>
    <t>Test ID: 1116</t>
  </si>
  <si>
    <t>Test ID: 1118</t>
  </si>
  <si>
    <t>Date: 10/14/2024</t>
  </si>
  <si>
    <t>Time: 1:54:34 PM</t>
  </si>
  <si>
    <t>Time: 2:01:30 PM</t>
  </si>
  <si>
    <t>Raw Data (570)</t>
  </si>
  <si>
    <t>nmole</t>
  </si>
  <si>
    <t>nmol</t>
  </si>
  <si>
    <t>nmole/2ul</t>
  </si>
  <si>
    <t>nmole/ul</t>
  </si>
  <si>
    <t>protein ug/ul</t>
  </si>
  <si>
    <t>nmole/ug protein</t>
  </si>
  <si>
    <t>Ratio to Urate 0 uM</t>
  </si>
  <si>
    <t>nmole/2 ul</t>
  </si>
  <si>
    <t>ug/ul protein</t>
  </si>
  <si>
    <t>nmole/ug</t>
  </si>
  <si>
    <t>UA0+Rolipram</t>
  </si>
  <si>
    <t>UA10+Rolipram</t>
  </si>
  <si>
    <t>UA50+Rolipram</t>
  </si>
  <si>
    <t>UA500+Rolipram</t>
  </si>
  <si>
    <t>Fig. 5G</t>
  </si>
  <si>
    <t>Test ID: 1124</t>
  </si>
  <si>
    <t>Test ID: 1127</t>
  </si>
  <si>
    <t>Test Name: Lumi Glow</t>
  </si>
  <si>
    <t>Time: 3:47:02 PM</t>
  </si>
  <si>
    <t>Time: 4:34:14 PM</t>
  </si>
  <si>
    <t>Luminescence</t>
  </si>
  <si>
    <t>Raw Data (No filter)</t>
  </si>
  <si>
    <t>dilution (1:10)</t>
  </si>
  <si>
    <t>ug/ul (protein)</t>
  </si>
  <si>
    <t>OD/ug</t>
  </si>
  <si>
    <t>Fig. 5H</t>
  </si>
  <si>
    <t>AMP</t>
  </si>
  <si>
    <t>ATP</t>
  </si>
  <si>
    <t>Ratio</t>
  </si>
  <si>
    <t xml:space="preserve">Average </t>
  </si>
  <si>
    <t>Relative to Urate 0 uM</t>
  </si>
  <si>
    <t>AMP/ATP ratio</t>
  </si>
  <si>
    <t>Fig. 5J</t>
  </si>
  <si>
    <t>Urate (0 uM)</t>
  </si>
  <si>
    <t>Urate (10 uM)</t>
  </si>
  <si>
    <t>Urate (50 uM)</t>
  </si>
  <si>
    <t>Urate (500 uM)</t>
  </si>
  <si>
    <t>AMPK</t>
  </si>
  <si>
    <t>GAPDH</t>
  </si>
  <si>
    <t>AMPK/GAPDH</t>
  </si>
  <si>
    <t>p-AMPK</t>
  </si>
  <si>
    <t>p-AMPK/GAPDH</t>
  </si>
  <si>
    <t>p-AMPK/AMPK</t>
  </si>
  <si>
    <t>AMPK KD1</t>
  </si>
  <si>
    <t>AMPK KD2</t>
  </si>
  <si>
    <t>AMPK KD3</t>
  </si>
  <si>
    <t>A76</t>
  </si>
  <si>
    <t>AICAR</t>
  </si>
  <si>
    <t>Compound C</t>
  </si>
  <si>
    <r>
      <t>AMPK</t>
    </r>
    <r>
      <rPr>
        <b/>
        <sz val="10"/>
        <rFont val="Arial"/>
        <family val="2"/>
      </rPr>
      <t> KD</t>
    </r>
  </si>
  <si>
    <t>Pitstop 2 (5 uM)</t>
  </si>
  <si>
    <t>Endosidin 2 (50 uM)</t>
  </si>
  <si>
    <t>EEA1</t>
  </si>
  <si>
    <t>Rab7</t>
  </si>
  <si>
    <t>Rab11</t>
  </si>
  <si>
    <t>CD81</t>
  </si>
  <si>
    <t>Lyso</t>
  </si>
  <si>
    <t>Groups</t>
  </si>
  <si>
    <t>Number</t>
  </si>
  <si>
    <t>DOB</t>
  </si>
  <si>
    <t>Age (months)</t>
  </si>
  <si>
    <t>Sex</t>
  </si>
  <si>
    <t>Weight (g)</t>
  </si>
  <si>
    <t>Water T0 (mL)</t>
  </si>
  <si>
    <t>Water T24 (mL)</t>
  </si>
  <si>
    <t>Water intake (24h)</t>
  </si>
  <si>
    <t>Urine output (24h)</t>
  </si>
  <si>
    <t>Water intake (mL/day/30 g)</t>
  </si>
  <si>
    <t>Urine output  (mL/day/30 g)</t>
  </si>
  <si>
    <t>M</t>
  </si>
  <si>
    <t>TLV+PB 400</t>
  </si>
  <si>
    <t>TLV+PB 600</t>
  </si>
  <si>
    <t>TLV+PB 800</t>
  </si>
  <si>
    <t>PB 800</t>
  </si>
  <si>
    <t>Probenecid (Pb)</t>
  </si>
  <si>
    <t>Tolvaptan (TLV)</t>
  </si>
  <si>
    <t>TLV + Pb</t>
  </si>
  <si>
    <t>Water Intake (mL/day/mouse)</t>
  </si>
  <si>
    <t>Urine Output  (mL/day/mouse)</t>
  </si>
  <si>
    <t>Probenecid (Pb)</t>
  </si>
  <si>
    <t>Tolvaptan (TLV)</t>
  </si>
  <si>
    <t>TLV + Pb</t>
  </si>
  <si>
    <t>TLVP</t>
  </si>
  <si>
    <t>TLVP+PB</t>
  </si>
  <si>
    <t>Test ID: 2013</t>
  </si>
  <si>
    <t>Test Name: Uric Acid OD 590</t>
  </si>
  <si>
    <t>Date: 11/20/2025</t>
  </si>
  <si>
    <t>Time: 10:56:05 AM</t>
  </si>
  <si>
    <t>Raw Data (590)</t>
  </si>
  <si>
    <t>mg/dl</t>
  </si>
  <si>
    <t>- Oxonic acid</t>
  </si>
  <si>
    <t>Control (N = 8)</t>
  </si>
  <si>
    <t>PB          (N = 8)</t>
  </si>
  <si>
    <t>TLV        (N = 10)</t>
  </si>
  <si>
    <t>TLV+PB (N = 10)</t>
  </si>
  <si>
    <t>Test ID: 1989</t>
  </si>
  <si>
    <t>Date: 11/17/2025</t>
  </si>
  <si>
    <t>Time: 4:14:25 PM</t>
  </si>
  <si>
    <t>mg/dL</t>
  </si>
  <si>
    <t>UO (mL/day/30g)</t>
  </si>
  <si>
    <t>+ Oxonic acid</t>
  </si>
  <si>
    <t>Control  1</t>
  </si>
  <si>
    <t>Control  2</t>
  </si>
  <si>
    <t>Control  3</t>
  </si>
  <si>
    <t>Control  4</t>
  </si>
  <si>
    <t>Control  5</t>
  </si>
  <si>
    <t>Control  6</t>
  </si>
  <si>
    <t>Control  7</t>
  </si>
  <si>
    <t>Control  8</t>
  </si>
  <si>
    <t>PB 1</t>
  </si>
  <si>
    <t>PB 2</t>
  </si>
  <si>
    <t>PB 3</t>
  </si>
  <si>
    <t>PB 4</t>
  </si>
  <si>
    <t>PB 5</t>
  </si>
  <si>
    <t>PB 6</t>
  </si>
  <si>
    <t>PB 7</t>
  </si>
  <si>
    <t>PB 8</t>
  </si>
  <si>
    <t>TLV 1</t>
  </si>
  <si>
    <t>TLV 2</t>
  </si>
  <si>
    <t>TLV 3</t>
  </si>
  <si>
    <t>TLV 4</t>
  </si>
  <si>
    <t>TLV 5</t>
  </si>
  <si>
    <t>TLV 6</t>
  </si>
  <si>
    <t>TLV 7</t>
  </si>
  <si>
    <t>TLV 8</t>
  </si>
  <si>
    <t>TLV 9</t>
  </si>
  <si>
    <t>TLV 10</t>
  </si>
  <si>
    <t>TLV+PB 1</t>
  </si>
  <si>
    <t>TLV+PB 2</t>
  </si>
  <si>
    <t>TLV+PB 3</t>
  </si>
  <si>
    <t>TLV+PB 4</t>
  </si>
  <si>
    <t>TLV+PB 5</t>
  </si>
  <si>
    <t>TLV+PB 6</t>
  </si>
  <si>
    <t>TLV+PB 7</t>
  </si>
  <si>
    <t>TLV+PB 8</t>
  </si>
  <si>
    <t>TLV+PB 9</t>
  </si>
  <si>
    <t>TLV+PB 10</t>
  </si>
  <si>
    <t>Test ID: 2024</t>
  </si>
  <si>
    <t>Time: 1:19:40 PM</t>
  </si>
  <si>
    <t>UA mg/dl</t>
  </si>
  <si>
    <t>Crea mg/dL</t>
  </si>
  <si>
    <t>UOP (mL/day/30g)</t>
  </si>
  <si>
    <t>UA mg/dL</t>
  </si>
  <si>
    <t>Creatinine mg/dl</t>
  </si>
  <si>
    <t>ratio</t>
  </si>
  <si>
    <t>UOP (mL)</t>
  </si>
  <si>
    <t>total mg</t>
  </si>
  <si>
    <t>Weight 11/17 (g)</t>
  </si>
  <si>
    <t>Weight 11/18 (g)</t>
  </si>
  <si>
    <t>Weight 11/19 (g)</t>
  </si>
  <si>
    <t>AV weigh (g)</t>
  </si>
  <si>
    <t xml:space="preserve">Male </t>
  </si>
  <si>
    <t>Female</t>
  </si>
  <si>
    <t>Weight 11/12 (g)</t>
  </si>
  <si>
    <t>Weight 11/13 (g)</t>
  </si>
  <si>
    <t>Weight 11/14 (g)</t>
  </si>
  <si>
    <t>Urine UA mg/dl</t>
  </si>
  <si>
    <t>Serum UA mg/dl</t>
  </si>
  <si>
    <t>Urine Crea mg/dL</t>
  </si>
  <si>
    <t>Serum Crea mg/dL</t>
  </si>
  <si>
    <t>FeAU</t>
  </si>
  <si>
    <t>Control   (N = 8)</t>
  </si>
  <si>
    <t>24 hrs urine volume (mL)</t>
  </si>
  <si>
    <t>Males</t>
  </si>
  <si>
    <t>Females</t>
  </si>
  <si>
    <t>Tolvaptan</t>
  </si>
  <si>
    <t>Tolvaptan
+Probenecid</t>
  </si>
  <si>
    <t>Percent decline as compared to baseline</t>
  </si>
  <si>
    <t>Tolvaptan+Probenecid</t>
  </si>
  <si>
    <t>Nocturia episodes</t>
  </si>
  <si>
    <t>ADPKD-IS</t>
  </si>
  <si>
    <t>Urine Osmolality 
(mOsm/kg)</t>
  </si>
  <si>
    <t>BL</t>
  </si>
  <si>
    <t>D7</t>
  </si>
  <si>
    <t>D15</t>
  </si>
  <si>
    <t>D30</t>
  </si>
  <si>
    <t>D60</t>
  </si>
  <si>
    <t>D75</t>
  </si>
  <si>
    <t>D90</t>
  </si>
  <si>
    <t>Serum Uric Acid 
(mg/dL)</t>
  </si>
  <si>
    <t>FeUA (%)</t>
  </si>
  <si>
    <t>Basal dDAVP (100 nM)</t>
  </si>
  <si>
    <t>Apical Urate (500 μM)</t>
  </si>
  <si>
    <t>Test ID: 2157</t>
  </si>
  <si>
    <t>Test Name: Bradford</t>
  </si>
  <si>
    <t>Date: 12/28/2025</t>
  </si>
  <si>
    <t>Time: 10:22:30 PM</t>
  </si>
  <si>
    <t>Raw Data (595)</t>
  </si>
  <si>
    <t>blnk</t>
  </si>
  <si>
    <t>x 50x dil</t>
  </si>
  <si>
    <t>uM</t>
  </si>
  <si>
    <t>conditions</t>
  </si>
  <si>
    <t>1- No uric acid</t>
  </si>
  <si>
    <t>2- Uric acid (500 uM)</t>
  </si>
  <si>
    <t>3- No uric acid + Rasburicase</t>
  </si>
  <si>
    <t>4- Uric acid (500 uM) + Rasburicase (5ug/ml)</t>
  </si>
  <si>
    <t>Rasburicase + Urate 0 uM</t>
  </si>
  <si>
    <t>Rasburicase + Urate 500 uM</t>
  </si>
  <si>
    <t>Std</t>
  </si>
  <si>
    <t>- Rasburicase</t>
  </si>
  <si>
    <t>+ Rasburicase</t>
  </si>
  <si>
    <t>Benz</t>
  </si>
  <si>
    <t>Res</t>
  </si>
  <si>
    <t>Febux</t>
  </si>
  <si>
    <t>Novo</t>
  </si>
  <si>
    <t>Time (hour)</t>
  </si>
  <si>
    <t>GLUT9 KD</t>
  </si>
  <si>
    <t>Test ID: 779</t>
  </si>
  <si>
    <t>Test Name: UA</t>
  </si>
  <si>
    <t>Date: 5/2/2024</t>
  </si>
  <si>
    <t>Test ID: 780</t>
  </si>
  <si>
    <t>Time: 12:05:31 PM</t>
  </si>
  <si>
    <t>Time: 12:33:50 PM</t>
  </si>
  <si>
    <t>prtoein</t>
  </si>
  <si>
    <t>dil (1:5)</t>
  </si>
  <si>
    <t>ug/ul</t>
  </si>
  <si>
    <t>ug/well</t>
  </si>
  <si>
    <t>Urate</t>
  </si>
  <si>
    <t>ug prot/well</t>
  </si>
  <si>
    <t>nmol/ug</t>
  </si>
  <si>
    <t>ratio to time 0hr</t>
  </si>
  <si>
    <t>Glut9+Ko143</t>
  </si>
  <si>
    <t>0hr 1</t>
  </si>
  <si>
    <t>0hr 2</t>
  </si>
  <si>
    <t>0hr 3</t>
  </si>
  <si>
    <t>1hr 1</t>
  </si>
  <si>
    <t>1hr 2</t>
  </si>
  <si>
    <t>1hr 3</t>
  </si>
  <si>
    <t>12hr 1</t>
  </si>
  <si>
    <t>12hr 2</t>
  </si>
  <si>
    <t>12hr 3</t>
  </si>
  <si>
    <t>24hr 1</t>
  </si>
  <si>
    <t>24hr 2</t>
  </si>
  <si>
    <t>24hr 3</t>
  </si>
  <si>
    <r>
      <t>Glut9 </t>
    </r>
    <r>
      <rPr>
        <b/>
        <sz val="10"/>
        <rFont val="Arial"/>
        <family val="2"/>
      </rPr>
      <t>KD</t>
    </r>
  </si>
  <si>
    <t>Ko143</t>
  </si>
  <si>
    <t>Test ID: 2211</t>
  </si>
  <si>
    <t>Test Name: Flourometric UA</t>
  </si>
  <si>
    <t>Date: 1/22/2026</t>
  </si>
  <si>
    <t>Time: 11:59:51 AM</t>
  </si>
  <si>
    <t>Raw Data (535-15/587-20)</t>
  </si>
  <si>
    <t>urate</t>
  </si>
  <si>
    <t>10% FBS</t>
  </si>
  <si>
    <t>Date: 1/21/2026</t>
  </si>
  <si>
    <t>Time: 10:53:53 AM</t>
  </si>
  <si>
    <t>FBS 100%</t>
  </si>
  <si>
    <t>Test ID: 1308</t>
  </si>
  <si>
    <t>Date: 2/3/2025</t>
  </si>
  <si>
    <t>Time: 2:57:34 PM</t>
  </si>
  <si>
    <t>Test ID: 1310</t>
  </si>
  <si>
    <t>Time: 4:00:49 PM</t>
  </si>
  <si>
    <t>Glut9 OE</t>
  </si>
  <si>
    <t>dil 1:5</t>
  </si>
  <si>
    <t>Supp.  Fig. 4B</t>
  </si>
  <si>
    <t>GLUT9b OE</t>
  </si>
  <si>
    <t>dDAVP </t>
  </si>
  <si>
    <t>dDAVP
+TLV</t>
  </si>
  <si>
    <t>Urate 0 μM</t>
  </si>
  <si>
    <t>Urate 500 μM</t>
  </si>
  <si>
    <t>Glut9b OE 1</t>
  </si>
  <si>
    <t>Glut9b OE 2</t>
  </si>
  <si>
    <t>Glut9b OE 3</t>
  </si>
  <si>
    <t>ABCG2</t>
  </si>
  <si>
    <t>Glut9 2</t>
  </si>
  <si>
    <t>Glut9</t>
  </si>
  <si>
    <t>ABCG2/Vinculin</t>
  </si>
  <si>
    <t>Glut9/Vinculin</t>
  </si>
  <si>
    <r>
      <t>Panx1</t>
    </r>
    <r>
      <rPr>
        <b/>
        <sz val="10"/>
        <rFont val="Arial"/>
        <family val="2"/>
      </rPr>
      <t> KD</t>
    </r>
  </si>
  <si>
    <r>
      <t>Nlrp3</t>
    </r>
    <r>
      <rPr>
        <b/>
        <sz val="10"/>
        <rFont val="Arial"/>
        <family val="2"/>
      </rPr>
      <t> KD</t>
    </r>
  </si>
  <si>
    <t>Panx1 KD1</t>
  </si>
  <si>
    <t>Panx1 KD2</t>
  </si>
  <si>
    <t>Panx1 KD3</t>
  </si>
  <si>
    <t>Panx1</t>
  </si>
  <si>
    <t>Panx1/Vinculin</t>
  </si>
  <si>
    <t>NLRP3 KD1</t>
  </si>
  <si>
    <t>NLRP3 KD2</t>
  </si>
  <si>
    <t>NLRP3 KD3</t>
  </si>
  <si>
    <t>NLRP3</t>
  </si>
  <si>
    <t>Urate (500 uM(</t>
  </si>
  <si>
    <r>
      <t xml:space="preserve">Slc14a2 </t>
    </r>
    <r>
      <rPr>
        <b/>
        <sz val="10"/>
        <rFont val="Arial"/>
        <family val="2"/>
      </rPr>
      <t>KD</t>
    </r>
  </si>
  <si>
    <t>Urea </t>
  </si>
  <si>
    <t>Slc14a2 KD1</t>
  </si>
  <si>
    <t>Slc14a2 KD2</t>
  </si>
  <si>
    <t>Slc14a2 KD3</t>
  </si>
  <si>
    <t>Slc14a2</t>
  </si>
  <si>
    <t>Slc14a2/GAPDH</t>
  </si>
  <si>
    <t>1h</t>
  </si>
  <si>
    <t>12h</t>
  </si>
  <si>
    <t>24h</t>
  </si>
  <si>
    <t>Vinculin 2</t>
  </si>
  <si>
    <t>ratio AMPK/vinculin</t>
  </si>
  <si>
    <t>Vinculin 1</t>
  </si>
  <si>
    <t>ratio pAMPK/vinculin</t>
  </si>
  <si>
    <t>ratio p-AMPK/AMPK</t>
  </si>
  <si>
    <t>Colchicine</t>
  </si>
  <si>
    <t>cold shock</t>
  </si>
  <si>
    <t>GAPDH Ct</t>
  </si>
  <si>
    <t>AQP2 Ct</t>
  </si>
  <si>
    <t>delta Ct</t>
  </si>
  <si>
    <t>delta delta Ct</t>
  </si>
  <si>
    <t>2^(-delta delta Ct)</t>
  </si>
  <si>
    <t>Ratio to Average WT</t>
  </si>
  <si>
    <t>V2R Ct</t>
  </si>
  <si>
    <t>V2R KD 1</t>
  </si>
  <si>
    <t>V2R KD 2</t>
  </si>
  <si>
    <t>V2R KD 3</t>
  </si>
  <si>
    <t>Glut9 Ct</t>
  </si>
  <si>
    <t>GLUT9 KD 1</t>
  </si>
  <si>
    <t>GLUT9 KD 2</t>
  </si>
  <si>
    <t>GLUT9 KD 3</t>
  </si>
  <si>
    <t>ABCG2 Ct</t>
  </si>
  <si>
    <t>ratio to WT</t>
  </si>
  <si>
    <t>ABCG2 KD 1</t>
  </si>
  <si>
    <t>ABCG2 KD 2</t>
  </si>
  <si>
    <t>ABCG2 KD 3</t>
  </si>
  <si>
    <t>Panx1 Ct</t>
  </si>
  <si>
    <t>Panx1 KD 1</t>
  </si>
  <si>
    <t>Panx1 KD 2</t>
  </si>
  <si>
    <t>Panx1 KD 3</t>
  </si>
  <si>
    <t>NLRP3 Ct</t>
  </si>
  <si>
    <t>NLRP3 KD 1</t>
  </si>
  <si>
    <t>NLRP3 KD 2</t>
  </si>
  <si>
    <t>NLRP3 KD 3</t>
  </si>
  <si>
    <t>Slc14a2 Ct</t>
  </si>
  <si>
    <t>Values</t>
  </si>
  <si>
    <t>Slc14a2 KD 1</t>
  </si>
  <si>
    <t>Slc14a2 KD 2</t>
  </si>
  <si>
    <t>Slc14a2 KD 3</t>
  </si>
  <si>
    <t>Prkaa1 Ct</t>
  </si>
  <si>
    <t>Prkaa1 KD 1</t>
  </si>
  <si>
    <t>Prkaa1 KD 2</t>
  </si>
  <si>
    <t>Prkaa1 KD 3</t>
  </si>
  <si>
    <t>Prkaa2 Ct</t>
  </si>
  <si>
    <t>Prkaa2 KD 1</t>
  </si>
  <si>
    <t>Prkaa2 KD 2</t>
  </si>
  <si>
    <t>Prkaa2 KD 3</t>
  </si>
  <si>
    <t>eGFR (ml/min/1.73m2)</t>
  </si>
  <si>
    <t>BL </t>
  </si>
  <si>
    <t>D45</t>
  </si>
  <si>
    <t>Post-
trial</t>
  </si>
  <si>
    <t>AST (U/L) &amp; ALT (U/L)</t>
  </si>
  <si>
    <t>Bilirubin (mg/dL)</t>
  </si>
  <si>
    <t>Days</t>
  </si>
  <si>
    <t>AST</t>
  </si>
  <si>
    <t>ALT</t>
  </si>
  <si>
    <t>Bilirubin</t>
  </si>
  <si>
    <t>Serum Uric Acid 
(pmol/L)</t>
  </si>
  <si>
    <t>Serum Copeptin
 (pmol/L)</t>
  </si>
  <si>
    <t>Apical</t>
  </si>
  <si>
    <t>Basal</t>
  </si>
  <si>
    <t>Glut9 KD</t>
  </si>
  <si>
    <t>Time hours</t>
  </si>
  <si>
    <t>ABCG2 KD1</t>
  </si>
  <si>
    <t>ABCG2 KD2</t>
  </si>
  <si>
    <t>ABCG2 KD3</t>
  </si>
  <si>
    <t xml:space="preserve">ABCG2 </t>
  </si>
  <si>
    <t xml:space="preserve">ABCG2 /Vinculin </t>
  </si>
  <si>
    <t>%</t>
  </si>
  <si>
    <t>FSK+UA0</t>
  </si>
  <si>
    <t>FSK+UA10</t>
  </si>
  <si>
    <t>FSK+UA50</t>
  </si>
  <si>
    <t>FSK+UA500</t>
  </si>
  <si>
    <t>proterin</t>
  </si>
  <si>
    <t>AMPK/Vinculin</t>
  </si>
  <si>
    <t>NLRP3/GAPDH</t>
  </si>
  <si>
    <t>Creatinine (mg/dL)</t>
  </si>
  <si>
    <t>BUN (mmol/L)</t>
  </si>
  <si>
    <t>Delta TKV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</si>
</sst>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0.0"/>
    <numFmt numFmtId="166" formatCode="0.000"/>
    <numFmt numFmtId="167" formatCode="0.000000"/>
    <numFmt numFmtId="168" formatCode="0.00000"/>
    <numFmt numFmtId="169" formatCode="#,##0.000"/>
    <numFmt numFmtId="170" formatCode="#,##0.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Courier"/>
      <family val="3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Aptos Narrow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b/>
      <sz val="11"/>
      <color rgb="FFFF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8" fillId="0" borderId="0"/>
    <xf numFmtId="43" fontId="8" fillId="0" borderId="0" applyFont="0" applyFill="0" applyBorder="0" applyAlignment="0" applyProtection="0"/>
    <xf numFmtId="0" fontId="3" fillId="0" borderId="0"/>
  </cellStyleXfs>
  <cellXfs count="18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7" fillId="0" borderId="0" xfId="0" applyFont="1"/>
    <xf numFmtId="0" fontId="1" fillId="0" borderId="1" xfId="0" applyFont="1" applyBorder="1" applyAlignment="1">
      <alignment horizontal="center"/>
    </xf>
    <xf numFmtId="164" fontId="0" fillId="0" borderId="0" xfId="0" applyNumberFormat="1"/>
    <xf numFmtId="166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0" xfId="0" applyNumberFormat="1"/>
    <xf numFmtId="0" fontId="0" fillId="0" borderId="3" xfId="0" applyBorder="1"/>
    <xf numFmtId="164" fontId="0" fillId="0" borderId="1" xfId="0" applyNumberFormat="1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166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1" applyFont="1"/>
    <xf numFmtId="0" fontId="13" fillId="0" borderId="0" xfId="2" applyFont="1"/>
    <xf numFmtId="0" fontId="13" fillId="0" borderId="10" xfId="3" applyFont="1" applyBorder="1" applyAlignment="1">
      <alignment horizontal="right" vertical="center"/>
    </xf>
    <xf numFmtId="0" fontId="13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3" fillId="0" borderId="11" xfId="1" applyFont="1" applyBorder="1" applyAlignment="1">
      <alignment horizontal="right"/>
    </xf>
    <xf numFmtId="0" fontId="12" fillId="0" borderId="10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14" fontId="8" fillId="0" borderId="10" xfId="4" applyNumberFormat="1" applyFont="1" applyBorder="1" applyAlignment="1">
      <alignment horizontal="center" vertical="center"/>
    </xf>
    <xf numFmtId="14" fontId="12" fillId="0" borderId="4" xfId="1" applyNumberFormat="1" applyFont="1" applyBorder="1" applyAlignment="1">
      <alignment horizontal="center"/>
    </xf>
    <xf numFmtId="14" fontId="12" fillId="0" borderId="3" xfId="1" applyNumberFormat="1" applyFont="1" applyBorder="1" applyAlignment="1">
      <alignment horizontal="center"/>
    </xf>
    <xf numFmtId="14" fontId="12" fillId="0" borderId="2" xfId="1" applyNumberFormat="1" applyFont="1" applyBorder="1" applyAlignment="1">
      <alignment horizontal="center"/>
    </xf>
    <xf numFmtId="2" fontId="8" fillId="0" borderId="10" xfId="5" applyNumberFormat="1" applyBorder="1"/>
    <xf numFmtId="0" fontId="12" fillId="0" borderId="12" xfId="1" applyFont="1" applyBorder="1" applyAlignment="1">
      <alignment horizontal="center"/>
    </xf>
    <xf numFmtId="0" fontId="12" fillId="0" borderId="0" xfId="1" applyFont="1" applyAlignment="1">
      <alignment horizontal="center"/>
    </xf>
    <xf numFmtId="14" fontId="8" fillId="0" borderId="12" xfId="4" applyNumberFormat="1" applyFont="1" applyBorder="1" applyAlignment="1">
      <alignment horizontal="center" vertical="center"/>
    </xf>
    <xf numFmtId="14" fontId="12" fillId="0" borderId="6" xfId="1" applyNumberFormat="1" applyFont="1" applyBorder="1" applyAlignment="1">
      <alignment horizontal="center"/>
    </xf>
    <xf numFmtId="14" fontId="12" fillId="0" borderId="0" xfId="1" applyNumberFormat="1" applyFont="1" applyAlignment="1">
      <alignment horizontal="center"/>
    </xf>
    <xf numFmtId="14" fontId="12" fillId="0" borderId="5" xfId="1" applyNumberFormat="1" applyFont="1" applyBorder="1" applyAlignment="1">
      <alignment horizontal="center"/>
    </xf>
    <xf numFmtId="2" fontId="8" fillId="0" borderId="12" xfId="5" applyNumberFormat="1" applyBorder="1"/>
    <xf numFmtId="0" fontId="12" fillId="0" borderId="11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14" fontId="8" fillId="0" borderId="11" xfId="4" applyNumberFormat="1" applyFont="1" applyBorder="1" applyAlignment="1">
      <alignment horizontal="center" vertical="center"/>
    </xf>
    <xf numFmtId="14" fontId="12" fillId="0" borderId="9" xfId="1" applyNumberFormat="1" applyFont="1" applyBorder="1" applyAlignment="1">
      <alignment horizontal="center"/>
    </xf>
    <xf numFmtId="14" fontId="12" fillId="0" borderId="8" xfId="1" applyNumberFormat="1" applyFont="1" applyBorder="1" applyAlignment="1">
      <alignment horizontal="center"/>
    </xf>
    <xf numFmtId="14" fontId="12" fillId="0" borderId="7" xfId="1" applyNumberFormat="1" applyFont="1" applyBorder="1" applyAlignment="1">
      <alignment horizontal="center"/>
    </xf>
    <xf numFmtId="2" fontId="8" fillId="0" borderId="11" xfId="5" applyNumberFormat="1" applyBorder="1"/>
    <xf numFmtId="2" fontId="8" fillId="0" borderId="12" xfId="6" applyNumberFormat="1" applyFont="1" applyBorder="1" applyAlignment="1">
      <alignment horizontal="right"/>
    </xf>
    <xf numFmtId="2" fontId="8" fillId="0" borderId="11" xfId="6" applyNumberFormat="1" applyFont="1" applyBorder="1" applyAlignment="1">
      <alignment horizontal="right"/>
    </xf>
    <xf numFmtId="0" fontId="13" fillId="0" borderId="1" xfId="1" applyFont="1" applyBorder="1" applyAlignment="1">
      <alignment horizontal="right"/>
    </xf>
    <xf numFmtId="0" fontId="13" fillId="0" borderId="1" xfId="1" applyFont="1" applyBorder="1"/>
    <xf numFmtId="2" fontId="8" fillId="0" borderId="1" xfId="5" applyNumberFormat="1" applyBorder="1"/>
    <xf numFmtId="166" fontId="12" fillId="0" borderId="1" xfId="1" applyNumberFormat="1" applyFont="1" applyBorder="1"/>
    <xf numFmtId="0" fontId="12" fillId="0" borderId="1" xfId="1" applyFont="1" applyBorder="1"/>
    <xf numFmtId="2" fontId="8" fillId="0" borderId="1" xfId="6" applyNumberFormat="1" applyFont="1" applyBorder="1" applyAlignment="1">
      <alignment horizontal="right"/>
    </xf>
    <xf numFmtId="168" fontId="12" fillId="0" borderId="1" xfId="1" applyNumberFormat="1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" fontId="0" fillId="0" borderId="0" xfId="0" applyNumberForma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164" fontId="7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2" fontId="0" fillId="0" borderId="0" xfId="0" applyNumberForma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2" borderId="0" xfId="0" applyFont="1" applyFill="1" applyAlignment="1">
      <alignment horizontal="center"/>
    </xf>
    <xf numFmtId="2" fontId="17" fillId="0" borderId="0" xfId="0" applyNumberFormat="1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17" fillId="0" borderId="0" xfId="0" applyFont="1"/>
    <xf numFmtId="0" fontId="17" fillId="2" borderId="0" xfId="0" applyFont="1" applyFill="1"/>
    <xf numFmtId="0" fontId="17" fillId="0" borderId="0" xfId="0" applyFont="1" applyAlignment="1">
      <alignment horizontal="center" vertical="center"/>
    </xf>
    <xf numFmtId="14" fontId="1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9" fontId="17" fillId="0" borderId="0" xfId="0" applyNumberFormat="1" applyFont="1" applyAlignment="1">
      <alignment horizontal="center" vertical="center"/>
    </xf>
    <xf numFmtId="14" fontId="17" fillId="2" borderId="0" xfId="0" applyNumberFormat="1" applyFont="1" applyFill="1" applyAlignment="1">
      <alignment horizontal="center"/>
    </xf>
    <xf numFmtId="1" fontId="17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2" fontId="17" fillId="2" borderId="0" xfId="0" applyNumberFormat="1" applyFont="1" applyFill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14" fontId="17" fillId="0" borderId="0" xfId="0" applyNumberFormat="1" applyFont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8" fillId="0" borderId="1" xfId="0" applyFont="1" applyBorder="1"/>
    <xf numFmtId="0" fontId="1" fillId="0" borderId="1" xfId="0" applyFont="1" applyBorder="1" applyAlignment="1">
      <alignment horizontal="center" wrapText="1"/>
    </xf>
    <xf numFmtId="166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9" fontId="0" fillId="0" borderId="0" xfId="0" applyNumberFormat="1"/>
    <xf numFmtId="0" fontId="4" fillId="0" borderId="0" xfId="0" applyFont="1"/>
    <xf numFmtId="0" fontId="18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7"/>
    <xf numFmtId="0" fontId="4" fillId="0" borderId="0" xfId="7" applyFont="1"/>
    <xf numFmtId="169" fontId="0" fillId="0" borderId="0" xfId="0" applyNumberFormat="1"/>
    <xf numFmtId="169" fontId="3" fillId="0" borderId="0" xfId="7" applyNumberFormat="1"/>
    <xf numFmtId="170" fontId="3" fillId="0" borderId="0" xfId="7" applyNumberFormat="1" applyAlignment="1">
      <alignment horizontal="left"/>
    </xf>
    <xf numFmtId="169" fontId="3" fillId="0" borderId="0" xfId="7" applyNumberFormat="1" applyAlignment="1">
      <alignment horizontal="left"/>
    </xf>
    <xf numFmtId="170" fontId="3" fillId="0" borderId="0" xfId="7" applyNumberFormat="1"/>
    <xf numFmtId="170" fontId="0" fillId="0" borderId="0" xfId="0" applyNumberFormat="1"/>
    <xf numFmtId="164" fontId="18" fillId="0" borderId="0" xfId="0" applyNumberFormat="1" applyFont="1"/>
    <xf numFmtId="166" fontId="18" fillId="0" borderId="0" xfId="0" applyNumberFormat="1" applyFont="1"/>
    <xf numFmtId="169" fontId="0" fillId="0" borderId="0" xfId="0" applyNumberFormat="1" applyAlignment="1">
      <alignment horizontal="center"/>
    </xf>
    <xf numFmtId="169" fontId="3" fillId="0" borderId="0" xfId="7" applyNumberFormat="1" applyAlignment="1">
      <alignment horizontal="center"/>
    </xf>
    <xf numFmtId="170" fontId="3" fillId="0" borderId="0" xfId="7" applyNumberFormat="1" applyAlignment="1">
      <alignment horizontal="center"/>
    </xf>
    <xf numFmtId="0" fontId="4" fillId="0" borderId="0" xfId="7" applyFont="1" applyAlignment="1">
      <alignment wrapText="1"/>
    </xf>
    <xf numFmtId="0" fontId="3" fillId="0" borderId="0" xfId="7" applyAlignment="1">
      <alignment horizontal="center"/>
    </xf>
    <xf numFmtId="4" fontId="3" fillId="0" borderId="0" xfId="7" applyNumberFormat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3" fillId="0" borderId="13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8" fillId="0" borderId="0" xfId="0" applyFont="1"/>
    <xf numFmtId="0" fontId="1" fillId="0" borderId="1" xfId="0" applyFont="1" applyFill="1" applyBorder="1"/>
    <xf numFmtId="0" fontId="18" fillId="0" borderId="0" xfId="0" applyFont="1" applyAlignment="1">
      <alignment horizontal="center"/>
    </xf>
    <xf numFmtId="0" fontId="20" fillId="0" borderId="0" xfId="0" applyFont="1"/>
    <xf numFmtId="0" fontId="20" fillId="0" borderId="1" xfId="0" applyFont="1" applyBorder="1"/>
    <xf numFmtId="0" fontId="15" fillId="0" borderId="1" xfId="0" applyFont="1" applyBorder="1"/>
    <xf numFmtId="0" fontId="1" fillId="0" borderId="8" xfId="0" applyFont="1" applyBorder="1" applyAlignment="1">
      <alignment horizontal="center"/>
    </xf>
  </cellXfs>
  <cellStyles count="8">
    <cellStyle name="Comma 3" xfId="6" xr:uid="{C867A995-1785-44CE-BDD7-58C19EB89209}"/>
    <cellStyle name="Normal" xfId="0" builtinId="0"/>
    <cellStyle name="Normal 2" xfId="7" xr:uid="{07DF1881-AB3A-4783-85E2-6B00472647E0}"/>
    <cellStyle name="Normal 2 2 2" xfId="4" xr:uid="{20D64F28-7727-4BBD-998A-6E6014D4E145}"/>
    <cellStyle name="Normal 3 2" xfId="1" xr:uid="{67292B97-FD1D-41C9-9793-F9B9BE2212D2}"/>
    <cellStyle name="Normal 3 2 2" xfId="2" xr:uid="{E21694C0-96CC-4779-AA9F-60BEBF15EBC3}"/>
    <cellStyle name="Normal 5" xfId="5" xr:uid="{377423E0-3039-451A-A541-BFF3C3B4C170}"/>
    <cellStyle name="Normal_ms0121-tg-ffa" xfId="3" xr:uid="{4029D02B-5BDF-413A-BEB2-D167DBF907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0540244969378831E-3"/>
                  <c:y val="-0.15053659959171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1C'!$C$80:$C$85</c:f>
              <c:numCache>
                <c:formatCode>General</c:formatCode>
                <c:ptCount val="6"/>
              </c:numCache>
            </c:numRef>
          </c:xVal>
          <c:yVal>
            <c:numRef>
              <c:f>'Fig. 1C'!$E$80:$E$85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F96-4A78-A7C7-8AABD93A0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5797087"/>
        <c:axId val="1745857087"/>
      </c:scatterChart>
      <c:valAx>
        <c:axId val="1745797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857087"/>
        <c:crosses val="autoZero"/>
        <c:crossBetween val="midCat"/>
      </c:valAx>
      <c:valAx>
        <c:axId val="174585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797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0540244969378831E-3"/>
                  <c:y val="-0.15053659959171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1E'!$C$66:$C$71</c:f>
              <c:numCache>
                <c:formatCode>General</c:formatCode>
                <c:ptCount val="6"/>
              </c:numCache>
            </c:numRef>
          </c:xVal>
          <c:yVal>
            <c:numRef>
              <c:f>'Fig. 1E'!$E$66:$E$71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4A-41AF-A934-24EBAD9BE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5797087"/>
        <c:axId val="1745857087"/>
      </c:scatterChart>
      <c:valAx>
        <c:axId val="1745797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857087"/>
        <c:crosses val="autoZero"/>
        <c:crossBetween val="midCat"/>
      </c:valAx>
      <c:valAx>
        <c:axId val="174585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797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0540244969378831E-3"/>
                  <c:y val="-0.15053659959171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1G'!$C$56:$C$61</c:f>
              <c:numCache>
                <c:formatCode>General</c:formatCode>
                <c:ptCount val="6"/>
              </c:numCache>
            </c:numRef>
          </c:xVal>
          <c:yVal>
            <c:numRef>
              <c:f>'Fig. 1G'!$E$56:$E$61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CD1-47FB-B77F-8B187648F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5797087"/>
        <c:axId val="1745857087"/>
      </c:scatterChart>
      <c:valAx>
        <c:axId val="1745797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857087"/>
        <c:crosses val="autoZero"/>
        <c:crossBetween val="midCat"/>
      </c:valAx>
      <c:valAx>
        <c:axId val="174585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797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0540244969378831E-3"/>
                  <c:y val="-0.15053659959171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2B'!$C$57:$C$62</c:f>
              <c:numCache>
                <c:formatCode>General</c:formatCode>
                <c:ptCount val="6"/>
              </c:numCache>
            </c:numRef>
          </c:xVal>
          <c:yVal>
            <c:numRef>
              <c:f>'Fig. 2B'!$E$57:$E$62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9AB-4FCF-8C39-A1F028D14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5797087"/>
        <c:axId val="1745857087"/>
      </c:scatterChart>
      <c:valAx>
        <c:axId val="1745797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857087"/>
        <c:crosses val="autoZero"/>
        <c:crossBetween val="midCat"/>
      </c:valAx>
      <c:valAx>
        <c:axId val="174585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797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0540244969378831E-3"/>
                  <c:y val="-0.15053659959171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2D'!$C$44:$C$49</c:f>
              <c:numCache>
                <c:formatCode>General</c:formatCode>
                <c:ptCount val="6"/>
              </c:numCache>
            </c:numRef>
          </c:xVal>
          <c:yVal>
            <c:numRef>
              <c:f>'Fig. 2D'!$E$44:$E$49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93A-42C2-95CC-EFDCB8C86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5797087"/>
        <c:axId val="1745857087"/>
      </c:scatterChart>
      <c:valAx>
        <c:axId val="1745797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857087"/>
        <c:crosses val="autoZero"/>
        <c:crossBetween val="midCat"/>
      </c:valAx>
      <c:valAx>
        <c:axId val="174585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797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0540244969378831E-3"/>
                  <c:y val="-0.15053659959171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2G'!$P$13:$P$17</c:f>
              <c:numCache>
                <c:formatCode>General</c:formatCode>
                <c:ptCount val="5"/>
                <c:pt idx="0">
                  <c:v>3.2</c:v>
                </c:pt>
                <c:pt idx="1">
                  <c:v>2.4</c:v>
                </c:pt>
                <c:pt idx="2">
                  <c:v>1.6</c:v>
                </c:pt>
                <c:pt idx="3">
                  <c:v>0.8</c:v>
                </c:pt>
                <c:pt idx="4">
                  <c:v>0</c:v>
                </c:pt>
              </c:numCache>
            </c:numRef>
          </c:xVal>
          <c:yVal>
            <c:numRef>
              <c:f>'Fig. 2G'!$R$13:$R$17</c:f>
              <c:numCache>
                <c:formatCode>General</c:formatCode>
                <c:ptCount val="5"/>
                <c:pt idx="0">
                  <c:v>7669.1469999999999</c:v>
                </c:pt>
                <c:pt idx="1">
                  <c:v>5574.5734999999995</c:v>
                </c:pt>
                <c:pt idx="2">
                  <c:v>3861.1770000000001</c:v>
                </c:pt>
                <c:pt idx="3">
                  <c:v>2273.3250000000003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123-428C-B099-AE35A4FD7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5797087"/>
        <c:axId val="1745857087"/>
      </c:scatterChart>
      <c:valAx>
        <c:axId val="1745797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857087"/>
        <c:crosses val="autoZero"/>
        <c:crossBetween val="midCat"/>
      </c:valAx>
      <c:valAx>
        <c:axId val="174585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797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0540244969378831E-3"/>
                  <c:y val="-0.15053659959171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4E'!$P$13:$P$17</c:f>
              <c:numCache>
                <c:formatCode>General</c:formatCode>
                <c:ptCount val="5"/>
                <c:pt idx="0">
                  <c:v>3.2</c:v>
                </c:pt>
                <c:pt idx="1">
                  <c:v>2.4</c:v>
                </c:pt>
                <c:pt idx="2">
                  <c:v>1.6</c:v>
                </c:pt>
                <c:pt idx="3">
                  <c:v>0.8</c:v>
                </c:pt>
                <c:pt idx="4">
                  <c:v>0</c:v>
                </c:pt>
              </c:numCache>
            </c:numRef>
          </c:xVal>
          <c:yVal>
            <c:numRef>
              <c:f>'Fig. 4E'!$R$13:$R$17</c:f>
              <c:numCache>
                <c:formatCode>General</c:formatCode>
                <c:ptCount val="5"/>
                <c:pt idx="0">
                  <c:v>7743.8939999999993</c:v>
                </c:pt>
                <c:pt idx="1">
                  <c:v>5430.5174999999999</c:v>
                </c:pt>
                <c:pt idx="2">
                  <c:v>3874.0970000000002</c:v>
                </c:pt>
                <c:pt idx="3">
                  <c:v>2410.9585000000002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86E-4297-9CF1-9A0A85ECD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5797087"/>
        <c:axId val="1745857087"/>
      </c:scatterChart>
      <c:valAx>
        <c:axId val="1745797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857087"/>
        <c:crosses val="autoZero"/>
        <c:crossBetween val="midCat"/>
      </c:valAx>
      <c:valAx>
        <c:axId val="174585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5797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8197725284339464E-2"/>
                  <c:y val="-0.162453703703703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7B'!$AC$31:$AC$38</c:f>
              <c:numCache>
                <c:formatCode>General</c:formatCode>
                <c:ptCount val="8"/>
              </c:numCache>
            </c:numRef>
          </c:xVal>
          <c:yVal>
            <c:numRef>
              <c:f>'Fig. 7B'!$AE$31:$AE$38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B24-4130-AB35-6556FAC7C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0935807"/>
        <c:axId val="1970934847"/>
      </c:scatterChart>
      <c:valAx>
        <c:axId val="19709358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934847"/>
        <c:crosses val="autoZero"/>
        <c:crossBetween val="midCat"/>
      </c:valAx>
      <c:valAx>
        <c:axId val="1970934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9358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870078740157484E-2"/>
                  <c:y val="-0.6400991542723826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7B'!$R$66:$R$69</c:f>
              <c:numCache>
                <c:formatCode>General</c:formatCode>
                <c:ptCount val="4"/>
              </c:numCache>
            </c:numRef>
          </c:xVal>
          <c:yVal>
            <c:numRef>
              <c:f>'Fig. 7B'!$T$66:$T$69</c:f>
              <c:numCache>
                <c:formatCode>General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BD-403C-966A-EF4B0B2F1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6752672"/>
        <c:axId val="1226752192"/>
      </c:scatterChart>
      <c:valAx>
        <c:axId val="1226752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192"/>
        <c:crosses val="autoZero"/>
        <c:crossBetween val="midCat"/>
      </c:valAx>
      <c:valAx>
        <c:axId val="122675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7B'!$AM$65:$AM$72</c:f>
              <c:numCache>
                <c:formatCode>General</c:formatCode>
                <c:ptCount val="8"/>
              </c:numCache>
            </c:numRef>
          </c:xVal>
          <c:yVal>
            <c:numRef>
              <c:f>'Fig. 7B'!$AO$65:$AO$72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B99-4583-99E0-4D5685FD4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3070111"/>
        <c:axId val="1973071071"/>
      </c:scatterChart>
      <c:valAx>
        <c:axId val="1973070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1071"/>
        <c:crosses val="autoZero"/>
        <c:crossBetween val="midCat"/>
      </c:valAx>
      <c:valAx>
        <c:axId val="197307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0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8197725284339464E-2"/>
                  <c:y val="-0.162453703703703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7D'!$AC$33:$AC$40</c:f>
              <c:numCache>
                <c:formatCode>General</c:formatCode>
                <c:ptCount val="8"/>
              </c:numCache>
            </c:numRef>
          </c:xVal>
          <c:yVal>
            <c:numRef>
              <c:f>'Fig. 7D'!$AE$33:$AE$40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640-412B-8ED8-1EC7E8870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0935807"/>
        <c:axId val="1970934847"/>
      </c:scatterChart>
      <c:valAx>
        <c:axId val="19709358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934847"/>
        <c:crosses val="autoZero"/>
        <c:crossBetween val="midCat"/>
      </c:valAx>
      <c:valAx>
        <c:axId val="1970934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9358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870078740157484E-2"/>
                  <c:y val="-0.6400991542723826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7D'!$R$68:$R$71</c:f>
              <c:numCache>
                <c:formatCode>General</c:formatCode>
                <c:ptCount val="4"/>
              </c:numCache>
            </c:numRef>
          </c:xVal>
          <c:yVal>
            <c:numRef>
              <c:f>'Fig. 7D'!$T$68:$T$71</c:f>
              <c:numCache>
                <c:formatCode>General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3C-47A6-8D79-819E1DB36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6752672"/>
        <c:axId val="1226752192"/>
      </c:scatterChart>
      <c:valAx>
        <c:axId val="1226752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192"/>
        <c:crosses val="autoZero"/>
        <c:crossBetween val="midCat"/>
      </c:valAx>
      <c:valAx>
        <c:axId val="122675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7D'!$AM$67:$AM$74</c:f>
              <c:numCache>
                <c:formatCode>General</c:formatCode>
                <c:ptCount val="8"/>
              </c:numCache>
            </c:numRef>
          </c:xVal>
          <c:yVal>
            <c:numRef>
              <c:f>'Fig. 7D'!$AO$67:$AO$74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F9A-4B4E-A0CD-E7D536B83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3070111"/>
        <c:axId val="1973071071"/>
      </c:scatterChart>
      <c:valAx>
        <c:axId val="1973070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1071"/>
        <c:crosses val="autoZero"/>
        <c:crossBetween val="midCat"/>
      </c:valAx>
      <c:valAx>
        <c:axId val="197307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0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8A'!$C$26:$C$30</c:f>
              <c:numCache>
                <c:formatCode>General</c:formatCode>
                <c:ptCount val="5"/>
                <c:pt idx="0">
                  <c:v>10</c:v>
                </c:pt>
                <c:pt idx="2">
                  <c:v>2.5</c:v>
                </c:pt>
                <c:pt idx="3">
                  <c:v>1.25</c:v>
                </c:pt>
                <c:pt idx="4">
                  <c:v>0.625</c:v>
                </c:pt>
              </c:numCache>
            </c:numRef>
          </c:xVal>
          <c:yVal>
            <c:numRef>
              <c:f>'Fig. 8A'!$E$26:$E$30</c:f>
              <c:numCache>
                <c:formatCode>General</c:formatCode>
                <c:ptCount val="5"/>
                <c:pt idx="0">
                  <c:v>0.57950000000000013</c:v>
                </c:pt>
                <c:pt idx="2">
                  <c:v>0.14750000000000002</c:v>
                </c:pt>
                <c:pt idx="3">
                  <c:v>4.3499999999999997E-2</c:v>
                </c:pt>
                <c:pt idx="4">
                  <c:v>5.0000000000000044E-3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286-4EB7-ACA3-486F34F84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4481520"/>
        <c:axId val="1224480080"/>
      </c:scatterChart>
      <c:valAx>
        <c:axId val="1224481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480080"/>
        <c:crosses val="autoZero"/>
        <c:crossBetween val="midCat"/>
      </c:valAx>
      <c:valAx>
        <c:axId val="122448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481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8197725284339464E-2"/>
                  <c:y val="-0.162453703703703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8A'!$AC$26:$AC$33</c:f>
              <c:numCache>
                <c:formatCode>General</c:formatCode>
                <c:ptCount val="8"/>
                <c:pt idx="0">
                  <c:v>2000</c:v>
                </c:pt>
                <c:pt idx="2">
                  <c:v>1000</c:v>
                </c:pt>
                <c:pt idx="3">
                  <c:v>750</c:v>
                </c:pt>
                <c:pt idx="4">
                  <c:v>500</c:v>
                </c:pt>
                <c:pt idx="5">
                  <c:v>250</c:v>
                </c:pt>
                <c:pt idx="6">
                  <c:v>125</c:v>
                </c:pt>
                <c:pt idx="7">
                  <c:v>25</c:v>
                </c:pt>
              </c:numCache>
            </c:numRef>
          </c:xVal>
          <c:yVal>
            <c:numRef>
              <c:f>'Fig. 8A'!$AE$26:$AE$33</c:f>
              <c:numCache>
                <c:formatCode>General</c:formatCode>
                <c:ptCount val="8"/>
                <c:pt idx="0">
                  <c:v>0.45100000000000001</c:v>
                </c:pt>
                <c:pt idx="2">
                  <c:v>0.22900000000000004</c:v>
                </c:pt>
                <c:pt idx="3">
                  <c:v>0.17749999999999999</c:v>
                </c:pt>
                <c:pt idx="4">
                  <c:v>0.12349999999999998</c:v>
                </c:pt>
                <c:pt idx="5">
                  <c:v>6.5499999999999989E-2</c:v>
                </c:pt>
                <c:pt idx="6">
                  <c:v>3.4499999999999989E-2</c:v>
                </c:pt>
                <c:pt idx="7">
                  <c:v>7.0000000000000062E-3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E2E-4DE4-8886-990F870BE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0935807"/>
        <c:axId val="1970934847"/>
      </c:scatterChart>
      <c:valAx>
        <c:axId val="19709358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934847"/>
        <c:crosses val="autoZero"/>
        <c:crossBetween val="midCat"/>
      </c:valAx>
      <c:valAx>
        <c:axId val="1970934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9358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870078740157484E-2"/>
                  <c:y val="-0.6400991542723826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8A'!$R$61:$R$64</c:f>
              <c:numCache>
                <c:formatCode>General</c:formatCode>
                <c:ptCount val="4"/>
              </c:numCache>
            </c:numRef>
          </c:xVal>
          <c:yVal>
            <c:numRef>
              <c:f>'Fig. 8A'!$T$61:$T$64</c:f>
              <c:numCache>
                <c:formatCode>General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07C-47FD-BA19-BF3379251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6752672"/>
        <c:axId val="1226752192"/>
      </c:scatterChart>
      <c:valAx>
        <c:axId val="1226752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192"/>
        <c:crosses val="autoZero"/>
        <c:crossBetween val="midCat"/>
      </c:valAx>
      <c:valAx>
        <c:axId val="122675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8A'!$AM$60:$AM$67</c:f>
              <c:numCache>
                <c:formatCode>General</c:formatCode>
                <c:ptCount val="8"/>
              </c:numCache>
            </c:numRef>
          </c:xVal>
          <c:yVal>
            <c:numRef>
              <c:f>'Fig. 8A'!$AO$60:$AO$67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41-4AA2-9EDA-B24C7F3FB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3070111"/>
        <c:axId val="1973071071"/>
      </c:scatterChart>
      <c:valAx>
        <c:axId val="1973070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1071"/>
        <c:crosses val="autoZero"/>
        <c:crossBetween val="midCat"/>
      </c:valAx>
      <c:valAx>
        <c:axId val="197307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0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870078740157484E-2"/>
                  <c:y val="-0.6400991542723826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8B'!$R$17:$R$20</c:f>
              <c:numCache>
                <c:formatCode>General</c:formatCode>
                <c:ptCount val="4"/>
                <c:pt idx="0">
                  <c:v>0.24349999999999999</c:v>
                </c:pt>
                <c:pt idx="1">
                  <c:v>0.36799999999999999</c:v>
                </c:pt>
                <c:pt idx="2">
                  <c:v>0.5645</c:v>
                </c:pt>
                <c:pt idx="3">
                  <c:v>0.71499999999999997</c:v>
                </c:pt>
              </c:numCache>
            </c:numRef>
          </c:xVal>
          <c:yVal>
            <c:numRef>
              <c:f>'Fig. 8B'!$T$17:$T$20</c:f>
              <c:numCache>
                <c:formatCode>General</c:formatCode>
                <c:ptCount val="4"/>
                <c:pt idx="0">
                  <c:v>2.3010299956639813</c:v>
                </c:pt>
                <c:pt idx="1">
                  <c:v>1.6989700043360187</c:v>
                </c:pt>
                <c:pt idx="2">
                  <c:v>1.0969100130080565</c:v>
                </c:pt>
                <c:pt idx="3">
                  <c:v>0.49485002168009401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02F-4811-A870-5EB10ED23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6752672"/>
        <c:axId val="1226752192"/>
      </c:scatterChart>
      <c:valAx>
        <c:axId val="1226752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192"/>
        <c:crosses val="autoZero"/>
        <c:crossBetween val="midCat"/>
      </c:valAx>
      <c:valAx>
        <c:axId val="122675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8B'!$AM$16:$AM$23</c:f>
              <c:numCache>
                <c:formatCode>General</c:formatCode>
                <c:ptCount val="8"/>
                <c:pt idx="0">
                  <c:v>2000</c:v>
                </c:pt>
                <c:pt idx="1">
                  <c:v>1000</c:v>
                </c:pt>
                <c:pt idx="2">
                  <c:v>500</c:v>
                </c:pt>
                <c:pt idx="3">
                  <c:v>250</c:v>
                </c:pt>
                <c:pt idx="4">
                  <c:v>125</c:v>
                </c:pt>
                <c:pt idx="5">
                  <c:v>62.5</c:v>
                </c:pt>
                <c:pt idx="6">
                  <c:v>31.25</c:v>
                </c:pt>
                <c:pt idx="7">
                  <c:v>0</c:v>
                </c:pt>
              </c:numCache>
            </c:numRef>
          </c:xVal>
          <c:yVal>
            <c:numRef>
              <c:f>'Fig. 8B'!$AO$16:$AO$23</c:f>
              <c:numCache>
                <c:formatCode>General</c:formatCode>
                <c:ptCount val="8"/>
                <c:pt idx="0">
                  <c:v>0.41699999999999998</c:v>
                </c:pt>
                <c:pt idx="1">
                  <c:v>0.23799999999999999</c:v>
                </c:pt>
                <c:pt idx="2">
                  <c:v>0.1235</c:v>
                </c:pt>
                <c:pt idx="3">
                  <c:v>6.9000000000000006E-2</c:v>
                </c:pt>
                <c:pt idx="4">
                  <c:v>3.6999999999999991E-2</c:v>
                </c:pt>
                <c:pt idx="5">
                  <c:v>1.949999999999999E-2</c:v>
                </c:pt>
                <c:pt idx="6">
                  <c:v>9.999999999999995E-3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1B-4D26-B021-4AD070A13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3070111"/>
        <c:axId val="1973071071"/>
      </c:scatterChart>
      <c:valAx>
        <c:axId val="1973070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1071"/>
        <c:crosses val="autoZero"/>
        <c:crossBetween val="midCat"/>
      </c:valAx>
      <c:valAx>
        <c:axId val="197307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0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911789151356078"/>
                  <c:y val="-0.7617249927092446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8C'!$Q$15:$Q$19</c:f>
              <c:numCache>
                <c:formatCode>General</c:formatCode>
                <c:ptCount val="5"/>
                <c:pt idx="0">
                  <c:v>6.5500000000000003E-2</c:v>
                </c:pt>
                <c:pt idx="1">
                  <c:v>0.18199999999999997</c:v>
                </c:pt>
                <c:pt idx="2">
                  <c:v>0.37150000000000005</c:v>
                </c:pt>
                <c:pt idx="4">
                  <c:v>0.69400000000000006</c:v>
                </c:pt>
              </c:numCache>
            </c:numRef>
          </c:xVal>
          <c:yVal>
            <c:numRef>
              <c:f>'Fig. 8C'!$S$15:$S$19</c:f>
              <c:numCache>
                <c:formatCode>General</c:formatCode>
                <c:ptCount val="5"/>
                <c:pt idx="0">
                  <c:v>2.3010299956639813</c:v>
                </c:pt>
                <c:pt idx="1">
                  <c:v>1.7160033436347992</c:v>
                </c:pt>
                <c:pt idx="2">
                  <c:v>1.0969100130080565</c:v>
                </c:pt>
                <c:pt idx="4">
                  <c:v>-0.10790539730951958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315-42F8-9614-A769BB620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1872495"/>
        <c:axId val="541876335"/>
      </c:scatterChart>
      <c:valAx>
        <c:axId val="5418724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876335"/>
        <c:crosses val="autoZero"/>
        <c:crossBetween val="midCat"/>
      </c:valAx>
      <c:valAx>
        <c:axId val="541876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8724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0244969378827649E-4"/>
                  <c:y val="-0.1393055555555555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8C'!$AO$9:$AO$11</c:f>
              <c:numCache>
                <c:formatCode>General</c:formatCode>
                <c:ptCount val="3"/>
                <c:pt idx="0">
                  <c:v>125</c:v>
                </c:pt>
                <c:pt idx="1">
                  <c:v>62.5</c:v>
                </c:pt>
                <c:pt idx="2">
                  <c:v>31.25</c:v>
                </c:pt>
              </c:numCache>
            </c:numRef>
          </c:xVal>
          <c:yVal>
            <c:numRef>
              <c:f>'Fig. 8C'!$AQ$9:$AQ$11</c:f>
              <c:numCache>
                <c:formatCode>General</c:formatCode>
                <c:ptCount val="3"/>
                <c:pt idx="0">
                  <c:v>0.14399999999999999</c:v>
                </c:pt>
                <c:pt idx="1">
                  <c:v>0.113</c:v>
                </c:pt>
                <c:pt idx="2">
                  <c:v>9.8500000000000004E-2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5B2-4BD9-9B7F-00F88CF42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5726032"/>
        <c:axId val="1895724592"/>
      </c:scatterChart>
      <c:valAx>
        <c:axId val="1895726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724592"/>
        <c:crosses val="autoZero"/>
        <c:crossBetween val="midCat"/>
      </c:valAx>
      <c:valAx>
        <c:axId val="189572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726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539370078740138E-2"/>
          <c:y val="0.13702537182852143"/>
          <c:w val="0.8825717410323709"/>
          <c:h val="0.7773611111111110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7039796773985482"/>
                  <c:y val="-0.7452646544181977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8D'!$Q$50:$Q$52</c:f>
              <c:numCache>
                <c:formatCode>General</c:formatCode>
                <c:ptCount val="3"/>
                <c:pt idx="0">
                  <c:v>0.69900000000000007</c:v>
                </c:pt>
                <c:pt idx="1">
                  <c:v>0.78700000000000014</c:v>
                </c:pt>
                <c:pt idx="2">
                  <c:v>0.86149999999999993</c:v>
                </c:pt>
              </c:numCache>
            </c:numRef>
          </c:xVal>
          <c:yVal>
            <c:numRef>
              <c:f>'Fig. 8D'!$S$50:$S$52</c:f>
              <c:numCache>
                <c:formatCode>General</c:formatCode>
                <c:ptCount val="3"/>
                <c:pt idx="0">
                  <c:v>1.6989700043360187</c:v>
                </c:pt>
                <c:pt idx="1">
                  <c:v>1.0969100130080565</c:v>
                </c:pt>
                <c:pt idx="2">
                  <c:v>0.49485002168009401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B05-4E46-8500-B9B8621F0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4764576"/>
        <c:axId val="1704759776"/>
      </c:scatterChart>
      <c:valAx>
        <c:axId val="1704764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4759776"/>
        <c:crosses val="autoZero"/>
        <c:crossBetween val="midCat"/>
      </c:valAx>
      <c:valAx>
        <c:axId val="1704759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4764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4620078740157487E-2"/>
                  <c:y val="-0.1583792650918635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9"/>
              <c:pt idx="0">
                <c:v>2000</c:v>
              </c:pt>
              <c:pt idx="1">
                <c:v>1500</c:v>
              </c:pt>
              <c:pt idx="2">
                <c:v>1000</c:v>
              </c:pt>
              <c:pt idx="3">
                <c:v>750</c:v>
              </c:pt>
              <c:pt idx="4">
                <c:v>500</c:v>
              </c:pt>
              <c:pt idx="5">
                <c:v>250</c:v>
              </c:pt>
              <c:pt idx="6">
                <c:v>125</c:v>
              </c:pt>
              <c:pt idx="7">
                <c:v>25</c:v>
              </c:pt>
              <c:pt idx="8">
                <c:v>0</c:v>
              </c:pt>
            </c:numLit>
          </c:xVal>
          <c:yVal>
            <c:numLit>
              <c:formatCode>General</c:formatCode>
              <c:ptCount val="9"/>
              <c:pt idx="0">
                <c:v>0.67649999999999999</c:v>
              </c:pt>
              <c:pt idx="1">
                <c:v>0.53899999999999992</c:v>
              </c:pt>
              <c:pt idx="2">
                <c:v>0.35949999999999999</c:v>
              </c:pt>
              <c:pt idx="3">
                <c:v>0.29649999999999999</c:v>
              </c:pt>
              <c:pt idx="4">
                <c:v>0.1905</c:v>
              </c:pt>
              <c:pt idx="5">
                <c:v>8.5000000000000006E-2</c:v>
              </c:pt>
              <c:pt idx="6">
                <c:v>5.3500000000000006E-2</c:v>
              </c:pt>
              <c:pt idx="7">
                <c:v>7.5000000000000067E-3</c:v>
              </c:pt>
              <c:pt idx="8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7A1-45DD-A6FE-F4C09AB52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175231"/>
        <c:axId val="1181173311"/>
      </c:scatterChart>
      <c:valAx>
        <c:axId val="11811752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1173311"/>
        <c:crosses val="autoZero"/>
        <c:crossBetween val="midCat"/>
      </c:valAx>
      <c:valAx>
        <c:axId val="1181173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11752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8D'!$AP$9:$AP$11</c:f>
              <c:numCache>
                <c:formatCode>General</c:formatCode>
                <c:ptCount val="3"/>
                <c:pt idx="0">
                  <c:v>0.69750000000000001</c:v>
                </c:pt>
                <c:pt idx="1">
                  <c:v>0.78550000000000009</c:v>
                </c:pt>
                <c:pt idx="2">
                  <c:v>0.86</c:v>
                </c:pt>
              </c:numCache>
            </c:numRef>
          </c:xVal>
          <c:yVal>
            <c:numRef>
              <c:f>'Fig. 8D'!$AQ$9:$AQ$11</c:f>
              <c:numCache>
                <c:formatCode>General</c:formatCode>
                <c:ptCount val="3"/>
                <c:pt idx="0">
                  <c:v>1.6989700043360187</c:v>
                </c:pt>
                <c:pt idx="1">
                  <c:v>1.0969100130080565</c:v>
                </c:pt>
                <c:pt idx="2">
                  <c:v>0.49485002168009401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4E-4E5D-B004-8BE4603AF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5701087"/>
        <c:axId val="725706847"/>
      </c:scatterChart>
      <c:valAx>
        <c:axId val="725701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5706847"/>
        <c:crosses val="autoZero"/>
        <c:crossBetween val="midCat"/>
      </c:valAx>
      <c:valAx>
        <c:axId val="725706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5701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911789151356078"/>
                  <c:y val="-0.7617249927092446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8E'!$Q$15:$Q$19</c:f>
              <c:numCache>
                <c:formatCode>General</c:formatCode>
                <c:ptCount val="5"/>
                <c:pt idx="0">
                  <c:v>6.5500000000000003E-2</c:v>
                </c:pt>
                <c:pt idx="1">
                  <c:v>0.18199999999999997</c:v>
                </c:pt>
                <c:pt idx="2">
                  <c:v>0.37150000000000005</c:v>
                </c:pt>
                <c:pt idx="4">
                  <c:v>0.69400000000000006</c:v>
                </c:pt>
              </c:numCache>
            </c:numRef>
          </c:xVal>
          <c:yVal>
            <c:numRef>
              <c:f>'Fig. 8E'!$S$15:$S$19</c:f>
              <c:numCache>
                <c:formatCode>General</c:formatCode>
                <c:ptCount val="5"/>
                <c:pt idx="0">
                  <c:v>2.3010299956639813</c:v>
                </c:pt>
                <c:pt idx="1">
                  <c:v>1.7160033436347992</c:v>
                </c:pt>
                <c:pt idx="2">
                  <c:v>1.0969100130080565</c:v>
                </c:pt>
                <c:pt idx="4">
                  <c:v>-0.10790539730951958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85C-4366-89E4-4FC72ADDF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1872495"/>
        <c:axId val="541876335"/>
      </c:scatterChart>
      <c:valAx>
        <c:axId val="5418724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876335"/>
        <c:crosses val="autoZero"/>
        <c:crossBetween val="midCat"/>
      </c:valAx>
      <c:valAx>
        <c:axId val="541876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8724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1.626421697287839E-2"/>
                  <c:y val="-0.1485648148148148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8E'!$AU$9:$AU$11</c:f>
              <c:numCache>
                <c:formatCode>General</c:formatCode>
                <c:ptCount val="3"/>
                <c:pt idx="0">
                  <c:v>125</c:v>
                </c:pt>
                <c:pt idx="1">
                  <c:v>62.5</c:v>
                </c:pt>
                <c:pt idx="2">
                  <c:v>31.25</c:v>
                </c:pt>
              </c:numCache>
            </c:numRef>
          </c:xVal>
          <c:yVal>
            <c:numRef>
              <c:f>'Fig. 8E'!$AW$9:$AW$11</c:f>
              <c:numCache>
                <c:formatCode>General</c:formatCode>
                <c:ptCount val="3"/>
                <c:pt idx="0">
                  <c:v>0.14399999999999999</c:v>
                </c:pt>
                <c:pt idx="1">
                  <c:v>0.113</c:v>
                </c:pt>
                <c:pt idx="2">
                  <c:v>9.8500000000000004E-2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E7-4F18-A8C1-1218F195B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298080"/>
        <c:axId val="484297120"/>
      </c:scatterChart>
      <c:valAx>
        <c:axId val="484298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297120"/>
        <c:crosses val="autoZero"/>
        <c:crossBetween val="midCat"/>
      </c:valAx>
      <c:valAx>
        <c:axId val="48429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298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2.9050306211723536E-2"/>
                  <c:y val="-0.6405628463108777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8F'!$Q$15:$Q$19</c:f>
              <c:numCache>
                <c:formatCode>General</c:formatCode>
                <c:ptCount val="5"/>
                <c:pt idx="0">
                  <c:v>0.248</c:v>
                </c:pt>
                <c:pt idx="1">
                  <c:v>0.35599999999999998</c:v>
                </c:pt>
                <c:pt idx="2">
                  <c:v>0.56600000000000006</c:v>
                </c:pt>
                <c:pt idx="3">
                  <c:v>0.74099999999999988</c:v>
                </c:pt>
                <c:pt idx="4">
                  <c:v>0.84999999999999987</c:v>
                </c:pt>
              </c:numCache>
            </c:numRef>
          </c:xVal>
          <c:yVal>
            <c:numRef>
              <c:f>'Fig. 8F'!$S$15:$S$19</c:f>
              <c:numCache>
                <c:formatCode>General</c:formatCode>
                <c:ptCount val="5"/>
                <c:pt idx="0">
                  <c:v>2.3010299956639813</c:v>
                </c:pt>
                <c:pt idx="1">
                  <c:v>1.7160033436347992</c:v>
                </c:pt>
                <c:pt idx="2">
                  <c:v>1.0969100130080565</c:v>
                </c:pt>
                <c:pt idx="3">
                  <c:v>0.49554433754644844</c:v>
                </c:pt>
                <c:pt idx="4">
                  <c:v>-0.10790539730951958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98-48E5-A89D-659BACA7E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478151"/>
        <c:axId val="305480199"/>
      </c:scatterChart>
      <c:valAx>
        <c:axId val="3054781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5480199"/>
        <c:crosses val="autoZero"/>
        <c:crossBetween val="midCat"/>
      </c:valAx>
      <c:valAx>
        <c:axId val="305480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547815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870078740157484E-2"/>
                  <c:y val="-0.6400991542723826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9C'!$R$17:$R$20</c:f>
              <c:numCache>
                <c:formatCode>General</c:formatCode>
                <c:ptCount val="4"/>
                <c:pt idx="0">
                  <c:v>0.24349999999999999</c:v>
                </c:pt>
                <c:pt idx="1">
                  <c:v>0.36799999999999999</c:v>
                </c:pt>
                <c:pt idx="2">
                  <c:v>0.5645</c:v>
                </c:pt>
                <c:pt idx="3">
                  <c:v>0.71499999999999997</c:v>
                </c:pt>
              </c:numCache>
            </c:numRef>
          </c:xVal>
          <c:yVal>
            <c:numRef>
              <c:f>'Fig. 9C'!$T$17:$T$20</c:f>
              <c:numCache>
                <c:formatCode>General</c:formatCode>
                <c:ptCount val="4"/>
                <c:pt idx="0">
                  <c:v>2.3010299956639813</c:v>
                </c:pt>
                <c:pt idx="1">
                  <c:v>1.6989700043360187</c:v>
                </c:pt>
                <c:pt idx="2">
                  <c:v>1.0969100130080565</c:v>
                </c:pt>
                <c:pt idx="3">
                  <c:v>0.49485002168009401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C47-41D1-BCF6-65A7C5E08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6752672"/>
        <c:axId val="1226752192"/>
      </c:scatterChart>
      <c:valAx>
        <c:axId val="1226752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192"/>
        <c:crosses val="autoZero"/>
        <c:crossBetween val="midCat"/>
      </c:valAx>
      <c:valAx>
        <c:axId val="122675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6752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9C'!$AM$16:$AM$23</c:f>
              <c:numCache>
                <c:formatCode>General</c:formatCode>
                <c:ptCount val="8"/>
                <c:pt idx="0">
                  <c:v>2000</c:v>
                </c:pt>
                <c:pt idx="1">
                  <c:v>1000</c:v>
                </c:pt>
                <c:pt idx="2">
                  <c:v>500</c:v>
                </c:pt>
                <c:pt idx="3">
                  <c:v>250</c:v>
                </c:pt>
                <c:pt idx="4">
                  <c:v>125</c:v>
                </c:pt>
                <c:pt idx="5">
                  <c:v>62.5</c:v>
                </c:pt>
                <c:pt idx="6">
                  <c:v>31.25</c:v>
                </c:pt>
                <c:pt idx="7">
                  <c:v>0</c:v>
                </c:pt>
              </c:numCache>
            </c:numRef>
          </c:xVal>
          <c:yVal>
            <c:numRef>
              <c:f>'Fig. 9C'!$AO$16:$AO$23</c:f>
              <c:numCache>
                <c:formatCode>General</c:formatCode>
                <c:ptCount val="8"/>
                <c:pt idx="0">
                  <c:v>0.41699999999999998</c:v>
                </c:pt>
                <c:pt idx="1">
                  <c:v>0.23799999999999999</c:v>
                </c:pt>
                <c:pt idx="2">
                  <c:v>0.1235</c:v>
                </c:pt>
                <c:pt idx="3">
                  <c:v>6.9000000000000006E-2</c:v>
                </c:pt>
                <c:pt idx="4">
                  <c:v>3.6999999999999991E-2</c:v>
                </c:pt>
                <c:pt idx="5">
                  <c:v>1.949999999999999E-2</c:v>
                </c:pt>
                <c:pt idx="6">
                  <c:v>9.999999999999995E-3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58-428F-8A48-805B70B47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3070111"/>
        <c:axId val="1973071071"/>
      </c:scatterChart>
      <c:valAx>
        <c:axId val="1973070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1071"/>
        <c:crosses val="autoZero"/>
        <c:crossBetween val="midCat"/>
      </c:valAx>
      <c:valAx>
        <c:axId val="197307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0701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5868328958880148E-3"/>
                  <c:y val="-0.5454538495188101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5"/>
              <c:pt idx="0">
                <c:v>8.1499999999999989E-2</c:v>
              </c:pt>
              <c:pt idx="1">
                <c:v>0.19549999999999998</c:v>
              </c:pt>
              <c:pt idx="2">
                <c:v>0.37400000000000011</c:v>
              </c:pt>
              <c:pt idx="4">
                <c:v>0.63949999999999996</c:v>
              </c:pt>
            </c:numLit>
          </c:xVal>
          <c:yVal>
            <c:numLit>
              <c:formatCode>General</c:formatCode>
              <c:ptCount val="5"/>
              <c:pt idx="0">
                <c:v>2.3010299956639813</c:v>
              </c:pt>
              <c:pt idx="1">
                <c:v>1.7160033436347992</c:v>
              </c:pt>
              <c:pt idx="2">
                <c:v>1.0969100130080565</c:v>
              </c:pt>
              <c:pt idx="4">
                <c:v>-0.10790539730951958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639-444F-B326-1ACB3A5FB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5509896"/>
        <c:axId val="625511944"/>
      </c:scatterChart>
      <c:valAx>
        <c:axId val="625509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511944"/>
        <c:crosses val="autoZero"/>
        <c:crossBetween val="midCat"/>
      </c:valAx>
      <c:valAx>
        <c:axId val="625511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55098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40142169728784"/>
                  <c:y val="-0.1578240740740740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6"/>
              <c:pt idx="0">
                <c:v>1000</c:v>
              </c:pt>
              <c:pt idx="1">
                <c:v>500</c:v>
              </c:pt>
              <c:pt idx="2">
                <c:v>250</c:v>
              </c:pt>
              <c:pt idx="3">
                <c:v>125</c:v>
              </c:pt>
              <c:pt idx="4">
                <c:v>62.5</c:v>
              </c:pt>
              <c:pt idx="5">
                <c:v>31.25</c:v>
              </c:pt>
            </c:numLit>
          </c:xVal>
          <c:yVal>
            <c:numLit>
              <c:formatCode>General</c:formatCode>
              <c:ptCount val="6"/>
              <c:pt idx="0">
                <c:v>0.249</c:v>
              </c:pt>
              <c:pt idx="1">
                <c:v>0.1265</c:v>
              </c:pt>
              <c:pt idx="2">
                <c:v>6.6500000000000004E-2</c:v>
              </c:pt>
              <c:pt idx="3">
                <c:v>3.2999999999999988E-2</c:v>
              </c:pt>
              <c:pt idx="4">
                <c:v>1.55E-2</c:v>
              </c:pt>
              <c:pt idx="5">
                <c:v>6.9999999999999923E-3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18D4-4844-B714-8F0A2CEAA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1439472"/>
        <c:axId val="1472761664"/>
      </c:scatterChart>
      <c:valAx>
        <c:axId val="1591439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2761664"/>
        <c:crosses val="autoZero"/>
        <c:crossBetween val="midCat"/>
      </c:valAx>
      <c:valAx>
        <c:axId val="147276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14394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9C'!$AM$121:$AM$128</c:f>
              <c:numCache>
                <c:formatCode>General</c:formatCode>
                <c:ptCount val="8"/>
                <c:pt idx="0">
                  <c:v>2000</c:v>
                </c:pt>
                <c:pt idx="1">
                  <c:v>1000</c:v>
                </c:pt>
                <c:pt idx="2">
                  <c:v>500</c:v>
                </c:pt>
                <c:pt idx="3">
                  <c:v>250</c:v>
                </c:pt>
                <c:pt idx="4">
                  <c:v>125</c:v>
                </c:pt>
                <c:pt idx="5">
                  <c:v>62.5</c:v>
                </c:pt>
                <c:pt idx="6">
                  <c:v>31.25</c:v>
                </c:pt>
                <c:pt idx="7">
                  <c:v>0</c:v>
                </c:pt>
              </c:numCache>
            </c:numRef>
          </c:xVal>
          <c:yVal>
            <c:numRef>
              <c:f>'Fig. 9C'!$AO$121:$AO$128</c:f>
              <c:numCache>
                <c:formatCode>General</c:formatCode>
                <c:ptCount val="8"/>
                <c:pt idx="0">
                  <c:v>0.60099999999999998</c:v>
                </c:pt>
                <c:pt idx="1">
                  <c:v>0.34250000000000003</c:v>
                </c:pt>
                <c:pt idx="2">
                  <c:v>0.17249999999999999</c:v>
                </c:pt>
                <c:pt idx="3">
                  <c:v>9.8000000000000018E-2</c:v>
                </c:pt>
                <c:pt idx="4">
                  <c:v>5.4500000000000007E-2</c:v>
                </c:pt>
                <c:pt idx="5">
                  <c:v>2.9000000000000012E-2</c:v>
                </c:pt>
                <c:pt idx="6">
                  <c:v>1.4500000000000013E-2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3E-45F2-89D3-F1A840D85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2473231"/>
        <c:axId val="1862472271"/>
      </c:scatterChart>
      <c:valAx>
        <c:axId val="18624732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2472271"/>
        <c:crosses val="autoZero"/>
        <c:crossBetween val="midCat"/>
      </c:valAx>
      <c:valAx>
        <c:axId val="1862472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24732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4825896762904631E-2"/>
                  <c:y val="-0.7331157042869641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9C'!$R$121:$R$124</c:f>
              <c:numCache>
                <c:formatCode>General</c:formatCode>
                <c:ptCount val="4"/>
                <c:pt idx="0">
                  <c:v>0.252</c:v>
                </c:pt>
                <c:pt idx="1">
                  <c:v>0.38450000000000001</c:v>
                </c:pt>
                <c:pt idx="2">
                  <c:v>0.58250000000000002</c:v>
                </c:pt>
                <c:pt idx="3">
                  <c:v>0.75249999999999995</c:v>
                </c:pt>
              </c:numCache>
            </c:numRef>
          </c:xVal>
          <c:yVal>
            <c:numRef>
              <c:f>'Fig. 9C'!$T$121:$T$124</c:f>
              <c:numCache>
                <c:formatCode>General</c:formatCode>
                <c:ptCount val="4"/>
                <c:pt idx="0">
                  <c:v>2.3010299956639813</c:v>
                </c:pt>
                <c:pt idx="1">
                  <c:v>1.6989700043360187</c:v>
                </c:pt>
                <c:pt idx="2">
                  <c:v>1.0969100130080565</c:v>
                </c:pt>
                <c:pt idx="3">
                  <c:v>0.49485002168009401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0EA-4F0C-8574-08B5A2F13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9364959"/>
        <c:axId val="1859363999"/>
      </c:scatterChart>
      <c:valAx>
        <c:axId val="185936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9363999"/>
        <c:crosses val="autoZero"/>
        <c:crossBetween val="midCat"/>
      </c:valAx>
      <c:valAx>
        <c:axId val="1859363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93649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15F'!$Q$15:$Q$19</c:f>
              <c:numCache>
                <c:formatCode>General</c:formatCode>
                <c:ptCount val="5"/>
                <c:pt idx="0">
                  <c:v>0.33650000000000002</c:v>
                </c:pt>
                <c:pt idx="1">
                  <c:v>0.17649999999999999</c:v>
                </c:pt>
                <c:pt idx="2">
                  <c:v>9.9999999999999992E-2</c:v>
                </c:pt>
                <c:pt idx="3">
                  <c:v>5.4500000000000007E-2</c:v>
                </c:pt>
                <c:pt idx="4">
                  <c:v>0</c:v>
                </c:pt>
              </c:numCache>
            </c:numRef>
          </c:xVal>
          <c:yVal>
            <c:numRef>
              <c:f>'Fig. 15F'!$R$15:$R$19</c:f>
              <c:numCache>
                <c:formatCode>General</c:formatCode>
                <c:ptCount val="5"/>
                <c:pt idx="0">
                  <c:v>10</c:v>
                </c:pt>
                <c:pt idx="1">
                  <c:v>5</c:v>
                </c:pt>
                <c:pt idx="2">
                  <c:v>2.5</c:v>
                </c:pt>
                <c:pt idx="3">
                  <c:v>1.25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626-4F2E-B153-129221F05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5859647"/>
        <c:axId val="595860127"/>
      </c:scatterChart>
      <c:valAx>
        <c:axId val="5958596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60127"/>
        <c:crosses val="autoZero"/>
        <c:crossBetween val="midCat"/>
      </c:valAx>
      <c:valAx>
        <c:axId val="59586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596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555555555555556"/>
                  <c:y val="-0.4982669874599008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6"/>
              <c:pt idx="0">
                <c:v>0.22450000000000003</c:v>
              </c:pt>
              <c:pt idx="1">
                <c:v>0.11650000000000001</c:v>
              </c:pt>
              <c:pt idx="2">
                <c:v>6.1000000000000013E-2</c:v>
              </c:pt>
              <c:pt idx="3">
                <c:v>3.2000000000000015E-2</c:v>
              </c:pt>
              <c:pt idx="4">
                <c:v>1.6500000000000001E-2</c:v>
              </c:pt>
              <c:pt idx="5">
                <c:v>0</c:v>
              </c:pt>
            </c:numLit>
          </c:xVal>
          <c:yVal>
            <c:numLit>
              <c:formatCode>General</c:formatCode>
              <c:ptCount val="6"/>
              <c:pt idx="0">
                <c:v>10</c:v>
              </c:pt>
              <c:pt idx="1">
                <c:v>5</c:v>
              </c:pt>
              <c:pt idx="2">
                <c:v>2.5</c:v>
              </c:pt>
              <c:pt idx="3">
                <c:v>1.25</c:v>
              </c:pt>
              <c:pt idx="4">
                <c:v>0.625</c:v>
              </c:pt>
              <c:pt idx="5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F496-4FBE-A3AE-B637CA7A6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0857040"/>
        <c:axId val="960858000"/>
      </c:scatterChart>
      <c:valAx>
        <c:axId val="960857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858000"/>
        <c:crosses val="autoZero"/>
        <c:crossBetween val="midCat"/>
      </c:valAx>
      <c:valAx>
        <c:axId val="96085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857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'Fig. 15G'!$Q$15:$Q$19</c:f>
              <c:numCache>
                <c:formatCode>General</c:formatCode>
                <c:ptCount val="5"/>
                <c:pt idx="0">
                  <c:v>0.42050000000000004</c:v>
                </c:pt>
                <c:pt idx="1">
                  <c:v>0.21700000000000003</c:v>
                </c:pt>
                <c:pt idx="2">
                  <c:v>0.111</c:v>
                </c:pt>
                <c:pt idx="3">
                  <c:v>4.8500000000000001E-2</c:v>
                </c:pt>
                <c:pt idx="4">
                  <c:v>0</c:v>
                </c:pt>
              </c:numCache>
            </c:numRef>
          </c:xVal>
          <c:yVal>
            <c:numRef>
              <c:f>'Fig. 15G'!$R$15:$R$19</c:f>
              <c:numCache>
                <c:formatCode>General</c:formatCode>
                <c:ptCount val="5"/>
                <c:pt idx="0">
                  <c:v>10</c:v>
                </c:pt>
                <c:pt idx="1">
                  <c:v>5</c:v>
                </c:pt>
                <c:pt idx="2">
                  <c:v>2.5</c:v>
                </c:pt>
                <c:pt idx="3">
                  <c:v>1.25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925-4480-8B97-9F12753EE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5874527"/>
        <c:axId val="595875007"/>
      </c:scatterChart>
      <c:valAx>
        <c:axId val="5958745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75007"/>
        <c:crosses val="autoZero"/>
        <c:crossBetween val="midCat"/>
      </c:valAx>
      <c:valAx>
        <c:axId val="595875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8745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2.166819772528434E-2"/>
                  <c:y val="-0.1657826625838436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8"/>
              <c:pt idx="0">
                <c:v>0.4215000000000001</c:v>
              </c:pt>
              <c:pt idx="1">
                <c:v>0.22450000000000003</c:v>
              </c:pt>
              <c:pt idx="2">
                <c:v>9.7000000000000017E-2</c:v>
              </c:pt>
              <c:pt idx="3">
                <c:v>5.9500000000000011E-2</c:v>
              </c:pt>
              <c:pt idx="4">
                <c:v>2.700000000000001E-2</c:v>
              </c:pt>
              <c:pt idx="5">
                <c:v>1.7000000000000001E-2</c:v>
              </c:pt>
              <c:pt idx="6">
                <c:v>5.0000000000000044E-3</c:v>
              </c:pt>
              <c:pt idx="7">
                <c:v>0</c:v>
              </c:pt>
            </c:numLit>
          </c:xVal>
          <c:yVal>
            <c:numLit>
              <c:formatCode>General</c:formatCode>
              <c:ptCount val="8"/>
              <c:pt idx="0">
                <c:v>10</c:v>
              </c:pt>
              <c:pt idx="1">
                <c:v>5</c:v>
              </c:pt>
              <c:pt idx="2">
                <c:v>2.5</c:v>
              </c:pt>
              <c:pt idx="3">
                <c:v>1.25</c:v>
              </c:pt>
              <c:pt idx="4">
                <c:v>0.625</c:v>
              </c:pt>
              <c:pt idx="5">
                <c:v>0.3125</c:v>
              </c:pt>
              <c:pt idx="6">
                <c:v>0.15625</c:v>
              </c:pt>
              <c:pt idx="7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16C8-4D2F-BB68-FD7C41379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5213520"/>
        <c:axId val="1105214000"/>
      </c:scatterChart>
      <c:valAx>
        <c:axId val="1105213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5214000"/>
        <c:crosses val="autoZero"/>
        <c:crossBetween val="midCat"/>
      </c:valAx>
      <c:valAx>
        <c:axId val="110521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5213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'Supp. Fig. 3C'!$L$26:$L$29</c:f>
              <c:numCache>
                <c:formatCode>General</c:formatCode>
                <c:ptCount val="4"/>
                <c:pt idx="0">
                  <c:v>3.2</c:v>
                </c:pt>
                <c:pt idx="1">
                  <c:v>2.4</c:v>
                </c:pt>
                <c:pt idx="2">
                  <c:v>1.6</c:v>
                </c:pt>
                <c:pt idx="3">
                  <c:v>0.8</c:v>
                </c:pt>
              </c:numCache>
            </c:numRef>
          </c:xVal>
          <c:yVal>
            <c:numRef>
              <c:f>'Supp. Fig. 3C'!$N$26:$N$29</c:f>
              <c:numCache>
                <c:formatCode>General</c:formatCode>
                <c:ptCount val="4"/>
                <c:pt idx="0">
                  <c:v>6959.1469999999999</c:v>
                </c:pt>
                <c:pt idx="1">
                  <c:v>5527.5734999999995</c:v>
                </c:pt>
                <c:pt idx="2">
                  <c:v>3850.8719999999998</c:v>
                </c:pt>
                <c:pt idx="3">
                  <c:v>2263.1704999999997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2BF-49F4-A41F-DC391E13B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7842384"/>
        <c:axId val="1807841424"/>
      </c:scatterChart>
      <c:valAx>
        <c:axId val="1807842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841424"/>
        <c:crosses val="autoZero"/>
        <c:crossBetween val="midCat"/>
      </c:valAx>
      <c:valAx>
        <c:axId val="180784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8423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9"/>
              <c:pt idx="0">
                <c:v>2000</c:v>
              </c:pt>
              <c:pt idx="1">
                <c:v>1000</c:v>
              </c:pt>
              <c:pt idx="2">
                <c:v>500</c:v>
              </c:pt>
              <c:pt idx="3">
                <c:v>250</c:v>
              </c:pt>
              <c:pt idx="4">
                <c:v>125</c:v>
              </c:pt>
              <c:pt idx="5">
                <c:v>62.5</c:v>
              </c:pt>
              <c:pt idx="6">
                <c:v>31.25</c:v>
              </c:pt>
              <c:pt idx="7">
                <c:v>15.625</c:v>
              </c:pt>
              <c:pt idx="8">
                <c:v>0</c:v>
              </c:pt>
            </c:numLit>
          </c:xVal>
          <c:yVal>
            <c:numLit>
              <c:formatCode>General</c:formatCode>
              <c:ptCount val="9"/>
              <c:pt idx="0">
                <c:v>0.58550000000000002</c:v>
              </c:pt>
              <c:pt idx="1">
                <c:v>0.33499999999999996</c:v>
              </c:pt>
              <c:pt idx="2">
                <c:v>0.17949999999999999</c:v>
              </c:pt>
              <c:pt idx="3">
                <c:v>0.10649999999999998</c:v>
              </c:pt>
              <c:pt idx="4">
                <c:v>5.3999999999999992E-2</c:v>
              </c:pt>
              <c:pt idx="5">
                <c:v>2.9499999999999998E-2</c:v>
              </c:pt>
              <c:pt idx="6">
                <c:v>1.6500000000000001E-2</c:v>
              </c:pt>
              <c:pt idx="7">
                <c:v>8.4999999999999937E-3</c:v>
              </c:pt>
              <c:pt idx="8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D48-4F55-9DC3-11CBCBDC9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7869168"/>
        <c:axId val="1807870128"/>
      </c:scatterChart>
      <c:valAx>
        <c:axId val="1807869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870128"/>
        <c:crosses val="autoZero"/>
        <c:crossBetween val="midCat"/>
      </c:valAx>
      <c:valAx>
        <c:axId val="180787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86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'Supp. Fig. 4D'!$R$15:$R$19</c:f>
              <c:numCache>
                <c:formatCode>General</c:formatCode>
                <c:ptCount val="5"/>
                <c:pt idx="0">
                  <c:v>4276.4263333333329</c:v>
                </c:pt>
                <c:pt idx="1">
                  <c:v>3488.9338333333335</c:v>
                </c:pt>
                <c:pt idx="2">
                  <c:v>2767.6764333333335</c:v>
                </c:pt>
                <c:pt idx="3">
                  <c:v>2052.3067833333334</c:v>
                </c:pt>
                <c:pt idx="4">
                  <c:v>1182.4487333333334</c:v>
                </c:pt>
              </c:numCache>
            </c:numRef>
          </c:xVal>
          <c:yVal>
            <c:numRef>
              <c:f>'Supp. Fig. 4D'!$S$15:$S$19</c:f>
              <c:numCache>
                <c:formatCode>General</c:formatCode>
                <c:ptCount val="5"/>
                <c:pt idx="0">
                  <c:v>4</c:v>
                </c:pt>
                <c:pt idx="1">
                  <c:v>3.2</c:v>
                </c:pt>
                <c:pt idx="2">
                  <c:v>2.4</c:v>
                </c:pt>
                <c:pt idx="3">
                  <c:v>1.6</c:v>
                </c:pt>
                <c:pt idx="4">
                  <c:v>0.8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E52-4594-9FCE-2AFC02464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4671712"/>
        <c:axId val="1354672192"/>
      </c:scatterChart>
      <c:valAx>
        <c:axId val="1354671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4672192"/>
        <c:crosses val="autoZero"/>
        <c:crossBetween val="midCat"/>
      </c:valAx>
      <c:valAx>
        <c:axId val="135467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4671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5"/>
              <c:pt idx="0">
                <c:v>0.40899999999999997</c:v>
              </c:pt>
              <c:pt idx="1">
                <c:v>0.21950000000000003</c:v>
              </c:pt>
              <c:pt idx="2">
                <c:v>9.8999999999999991E-2</c:v>
              </c:pt>
              <c:pt idx="3">
                <c:v>5.3000000000000005E-2</c:v>
              </c:pt>
              <c:pt idx="4">
                <c:v>0</c:v>
              </c:pt>
            </c:numLit>
          </c:xVal>
          <c:yVal>
            <c:numLit>
              <c:formatCode>General</c:formatCode>
              <c:ptCount val="5"/>
              <c:pt idx="0">
                <c:v>10</c:v>
              </c:pt>
              <c:pt idx="1">
                <c:v>5</c:v>
              </c:pt>
              <c:pt idx="2">
                <c:v>2.5</c:v>
              </c:pt>
              <c:pt idx="3">
                <c:v>1.25</c:v>
              </c:pt>
              <c:pt idx="4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BE71-44D8-B7D6-60F67F6D9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6706735"/>
        <c:axId val="1496701455"/>
      </c:scatterChart>
      <c:valAx>
        <c:axId val="14967067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6701455"/>
        <c:crosses val="autoZero"/>
        <c:crossBetween val="midCat"/>
      </c:valAx>
      <c:valAx>
        <c:axId val="1496701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67067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2.8353674540682414E-2"/>
                  <c:y val="-0.1763425925925926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'Supp. Fig. 4E'!$P$16:$P$21</c:f>
              <c:numCache>
                <c:formatCode>General</c:formatCode>
                <c:ptCount val="6"/>
                <c:pt idx="0">
                  <c:v>4</c:v>
                </c:pt>
                <c:pt idx="1">
                  <c:v>3.2</c:v>
                </c:pt>
                <c:pt idx="2">
                  <c:v>2.4</c:v>
                </c:pt>
                <c:pt idx="3">
                  <c:v>1.6</c:v>
                </c:pt>
                <c:pt idx="4">
                  <c:v>0.8</c:v>
                </c:pt>
                <c:pt idx="5">
                  <c:v>0</c:v>
                </c:pt>
              </c:numCache>
            </c:numRef>
          </c:xVal>
          <c:yVal>
            <c:numRef>
              <c:f>'Supp. Fig. 4E'!$R$16:$R$21</c:f>
              <c:numCache>
                <c:formatCode>General</c:formatCode>
                <c:ptCount val="6"/>
                <c:pt idx="0">
                  <c:v>41173.378499999999</c:v>
                </c:pt>
                <c:pt idx="1">
                  <c:v>32143.865499999996</c:v>
                </c:pt>
                <c:pt idx="2">
                  <c:v>26120.550499999998</c:v>
                </c:pt>
                <c:pt idx="3">
                  <c:v>19020.288499999999</c:v>
                </c:pt>
                <c:pt idx="4">
                  <c:v>9878.8090000000011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BF7-4BA8-80BC-4F114E2B8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4390528"/>
        <c:axId val="1993065456"/>
      </c:scatterChart>
      <c:valAx>
        <c:axId val="2074390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3065456"/>
        <c:crosses val="autoZero"/>
        <c:crossBetween val="midCat"/>
      </c:valAx>
      <c:valAx>
        <c:axId val="1993065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4390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932545931758531"/>
                  <c:y val="-0.1809722222222222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7"/>
              <c:pt idx="0">
                <c:v>2000</c:v>
              </c:pt>
              <c:pt idx="1">
                <c:v>1000</c:v>
              </c:pt>
              <c:pt idx="2">
                <c:v>500</c:v>
              </c:pt>
              <c:pt idx="3">
                <c:v>250</c:v>
              </c:pt>
              <c:pt idx="4">
                <c:v>125</c:v>
              </c:pt>
              <c:pt idx="5">
                <c:v>62.5</c:v>
              </c:pt>
              <c:pt idx="6">
                <c:v>31.25</c:v>
              </c:pt>
            </c:numLit>
          </c:xVal>
          <c:yVal>
            <c:numLit>
              <c:formatCode>General</c:formatCode>
              <c:ptCount val="7"/>
              <c:pt idx="0">
                <c:v>0.63949999999999996</c:v>
              </c:pt>
              <c:pt idx="3">
                <c:v>0.10399999999999998</c:v>
              </c:pt>
              <c:pt idx="4">
                <c:v>7.0000000000000007E-2</c:v>
              </c:pt>
              <c:pt idx="5">
                <c:v>4.0499999999999994E-2</c:v>
              </c:pt>
              <c:pt idx="6">
                <c:v>2.5499999999999995E-2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235-43DD-ADF2-1771F819D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992768"/>
        <c:axId val="1759991328"/>
      </c:scatterChart>
      <c:valAx>
        <c:axId val="1759992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991328"/>
        <c:crosses val="autoZero"/>
        <c:crossBetween val="midCat"/>
      </c:valAx>
      <c:valAx>
        <c:axId val="1759991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99927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5" Type="http://schemas.openxmlformats.org/officeDocument/2006/relationships/chart" Target="../charts/chart32.xml"/><Relationship Id="rId4" Type="http://schemas.openxmlformats.org/officeDocument/2006/relationships/chart" Target="../charts/chart3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3.xml"/><Relationship Id="rId1" Type="http://schemas.openxmlformats.org/officeDocument/2006/relationships/chart" Target="../charts/chart4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78</xdr:row>
      <xdr:rowOff>185737</xdr:rowOff>
    </xdr:from>
    <xdr:to>
      <xdr:col>11</xdr:col>
      <xdr:colOff>485775</xdr:colOff>
      <xdr:row>93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B1FE2F-EF3B-4AD1-9FF4-BBFB288267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64</xdr:row>
      <xdr:rowOff>185737</xdr:rowOff>
    </xdr:from>
    <xdr:to>
      <xdr:col>11</xdr:col>
      <xdr:colOff>485775</xdr:colOff>
      <xdr:row>79</xdr:row>
      <xdr:rowOff>71437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355514-EFF0-2036-63AC-9A316D3115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54</xdr:row>
      <xdr:rowOff>185737</xdr:rowOff>
    </xdr:from>
    <xdr:to>
      <xdr:col>11</xdr:col>
      <xdr:colOff>485775</xdr:colOff>
      <xdr:row>69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AA81D2-4D2D-48AB-B1EF-68C724D39F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55</xdr:row>
      <xdr:rowOff>185737</xdr:rowOff>
    </xdr:from>
    <xdr:to>
      <xdr:col>11</xdr:col>
      <xdr:colOff>485775</xdr:colOff>
      <xdr:row>70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20AE0B-4FC5-46A0-B036-4269B122C8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42</xdr:row>
      <xdr:rowOff>185737</xdr:rowOff>
    </xdr:from>
    <xdr:to>
      <xdr:col>11</xdr:col>
      <xdr:colOff>485775</xdr:colOff>
      <xdr:row>57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69F39F-8E45-488A-BE0A-3ED5D66AB4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20</xdr:row>
      <xdr:rowOff>14287</xdr:rowOff>
    </xdr:from>
    <xdr:to>
      <xdr:col>17</xdr:col>
      <xdr:colOff>247650</xdr:colOff>
      <xdr:row>34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0688EE-C3ED-436F-9523-E38960DD3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18</xdr:row>
      <xdr:rowOff>185737</xdr:rowOff>
    </xdr:from>
    <xdr:to>
      <xdr:col>20</xdr:col>
      <xdr:colOff>76200</xdr:colOff>
      <xdr:row>33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B84BB7-F638-4F34-8756-F363B1B8C0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28575</xdr:colOff>
      <xdr:row>30</xdr:row>
      <xdr:rowOff>14287</xdr:rowOff>
    </xdr:from>
    <xdr:to>
      <xdr:col>39</xdr:col>
      <xdr:colOff>333375</xdr:colOff>
      <xdr:row>44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7ADE76-C9F6-4432-B62B-B1503DE65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71</xdr:row>
      <xdr:rowOff>14287</xdr:rowOff>
    </xdr:from>
    <xdr:to>
      <xdr:col>21</xdr:col>
      <xdr:colOff>180975</xdr:colOff>
      <xdr:row>85</xdr:row>
      <xdr:rowOff>90487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D761171-EE2D-4F28-B29E-F0B5351693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37</xdr:col>
      <xdr:colOff>9525</xdr:colOff>
      <xdr:row>73</xdr:row>
      <xdr:rowOff>33337</xdr:rowOff>
    </xdr:from>
    <xdr:to>
      <xdr:col>44</xdr:col>
      <xdr:colOff>314325</xdr:colOff>
      <xdr:row>87</xdr:row>
      <xdr:rowOff>109537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1DFFAAB-7734-43F9-82EA-3DFF2DEC0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28575</xdr:colOff>
      <xdr:row>32</xdr:row>
      <xdr:rowOff>14287</xdr:rowOff>
    </xdr:from>
    <xdr:to>
      <xdr:col>39</xdr:col>
      <xdr:colOff>333375</xdr:colOff>
      <xdr:row>46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996FEFA-3BF7-48A9-9040-DCD07092A5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73</xdr:row>
      <xdr:rowOff>14287</xdr:rowOff>
    </xdr:from>
    <xdr:to>
      <xdr:col>21</xdr:col>
      <xdr:colOff>180975</xdr:colOff>
      <xdr:row>87</xdr:row>
      <xdr:rowOff>90487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6D6EFB2-C263-4D36-8985-E0ED23A0E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37</xdr:col>
      <xdr:colOff>9525</xdr:colOff>
      <xdr:row>75</xdr:row>
      <xdr:rowOff>33337</xdr:rowOff>
    </xdr:from>
    <xdr:to>
      <xdr:col>44</xdr:col>
      <xdr:colOff>314325</xdr:colOff>
      <xdr:row>89</xdr:row>
      <xdr:rowOff>109537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8E52E5B-C072-403E-B8C5-5BFD6EDAFE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24</xdr:row>
      <xdr:rowOff>185737</xdr:rowOff>
    </xdr:from>
    <xdr:to>
      <xdr:col>13</xdr:col>
      <xdr:colOff>285750</xdr:colOff>
      <xdr:row>39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3F0023-C941-4E46-9229-492E738DD8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28575</xdr:colOff>
      <xdr:row>25</xdr:row>
      <xdr:rowOff>14287</xdr:rowOff>
    </xdr:from>
    <xdr:to>
      <xdr:col>39</xdr:col>
      <xdr:colOff>333375</xdr:colOff>
      <xdr:row>39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A8B04F-F1EA-4B18-88DD-1D35D6796A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66</xdr:row>
      <xdr:rowOff>14287</xdr:rowOff>
    </xdr:from>
    <xdr:to>
      <xdr:col>21</xdr:col>
      <xdr:colOff>180975</xdr:colOff>
      <xdr:row>80</xdr:row>
      <xdr:rowOff>90487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69D0DB-1CFE-42F1-A9A0-F8EB8B8FE6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9525</xdr:colOff>
      <xdr:row>68</xdr:row>
      <xdr:rowOff>33337</xdr:rowOff>
    </xdr:from>
    <xdr:to>
      <xdr:col>44</xdr:col>
      <xdr:colOff>314325</xdr:colOff>
      <xdr:row>82</xdr:row>
      <xdr:rowOff>109537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BF72CE8-C14F-4DC9-83EA-9D2014F29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22</xdr:row>
      <xdr:rowOff>14287</xdr:rowOff>
    </xdr:from>
    <xdr:to>
      <xdr:col>21</xdr:col>
      <xdr:colOff>180975</xdr:colOff>
      <xdr:row>36</xdr:row>
      <xdr:rowOff>90487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ED27D06-CEEE-7523-CC97-38387083E2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9525</xdr:colOff>
      <xdr:row>24</xdr:row>
      <xdr:rowOff>33337</xdr:rowOff>
    </xdr:from>
    <xdr:to>
      <xdr:col>44</xdr:col>
      <xdr:colOff>314325</xdr:colOff>
      <xdr:row>38</xdr:row>
      <xdr:rowOff>109537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F44EEB1-DF5F-BEF9-D5DD-B1FEBD7BC3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21</xdr:row>
      <xdr:rowOff>4762</xdr:rowOff>
    </xdr:from>
    <xdr:to>
      <xdr:col>21</xdr:col>
      <xdr:colOff>323850</xdr:colOff>
      <xdr:row>35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464C73-0D30-467C-99FD-BDB65CEE9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36</xdr:col>
      <xdr:colOff>0</xdr:colOff>
      <xdr:row>13</xdr:row>
      <xdr:rowOff>185737</xdr:rowOff>
    </xdr:from>
    <xdr:to>
      <xdr:col>43</xdr:col>
      <xdr:colOff>304800</xdr:colOff>
      <xdr:row>28</xdr:row>
      <xdr:rowOff>71437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E8D5347-D877-1F08-194D-A63176AF2F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58</xdr:row>
      <xdr:rowOff>14287</xdr:rowOff>
    </xdr:from>
    <xdr:to>
      <xdr:col>21</xdr:col>
      <xdr:colOff>314325</xdr:colOff>
      <xdr:row>72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663590-63EB-4B40-B5BC-C51977B7D9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38</xdr:col>
      <xdr:colOff>9525</xdr:colOff>
      <xdr:row>63</xdr:row>
      <xdr:rowOff>180975</xdr:rowOff>
    </xdr:from>
    <xdr:to>
      <xdr:col>44</xdr:col>
      <xdr:colOff>314325</xdr:colOff>
      <xdr:row>78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2117D5-21AF-4528-A3CC-FBB9D5C3BB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38</xdr:col>
      <xdr:colOff>600075</xdr:colOff>
      <xdr:row>14</xdr:row>
      <xdr:rowOff>23812</xdr:rowOff>
    </xdr:from>
    <xdr:to>
      <xdr:col>46</xdr:col>
      <xdr:colOff>295275</xdr:colOff>
      <xdr:row>26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DFDDC16-0258-9C60-CB9D-64528E8A25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600075</xdr:colOff>
      <xdr:row>13</xdr:row>
      <xdr:rowOff>14287</xdr:rowOff>
    </xdr:from>
    <xdr:to>
      <xdr:col>27</xdr:col>
      <xdr:colOff>295275</xdr:colOff>
      <xdr:row>27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FE89B2-CB53-4796-BD6D-43934F05EC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41</xdr:col>
      <xdr:colOff>9525</xdr:colOff>
      <xdr:row>14</xdr:row>
      <xdr:rowOff>4762</xdr:rowOff>
    </xdr:from>
    <xdr:to>
      <xdr:col>48</xdr:col>
      <xdr:colOff>314325</xdr:colOff>
      <xdr:row>28</xdr:row>
      <xdr:rowOff>80962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62BD297-20B6-E34E-D9B2-3025887F2B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361950</xdr:colOff>
      <xdr:row>22</xdr:row>
      <xdr:rowOff>85725</xdr:rowOff>
    </xdr:from>
    <xdr:to>
      <xdr:col>21</xdr:col>
      <xdr:colOff>57150</xdr:colOff>
      <xdr:row>36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AFC44E-FC6C-43CF-B61B-9418DE314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22</xdr:row>
      <xdr:rowOff>14287</xdr:rowOff>
    </xdr:from>
    <xdr:to>
      <xdr:col>21</xdr:col>
      <xdr:colOff>180975</xdr:colOff>
      <xdr:row>36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550768-1D13-4166-89E8-7D841F418C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9525</xdr:colOff>
      <xdr:row>24</xdr:row>
      <xdr:rowOff>33337</xdr:rowOff>
    </xdr:from>
    <xdr:to>
      <xdr:col>44</xdr:col>
      <xdr:colOff>314325</xdr:colOff>
      <xdr:row>38</xdr:row>
      <xdr:rowOff>109537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13848A1-B967-4352-84C5-E2BB92163A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77</xdr:row>
      <xdr:rowOff>9525</xdr:rowOff>
    </xdr:from>
    <xdr:to>
      <xdr:col>22</xdr:col>
      <xdr:colOff>304800</xdr:colOff>
      <xdr:row>91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346FFAE-5271-4B88-B07A-F41B90DB3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9525</xdr:colOff>
      <xdr:row>69</xdr:row>
      <xdr:rowOff>4762</xdr:rowOff>
    </xdr:from>
    <xdr:to>
      <xdr:col>52</xdr:col>
      <xdr:colOff>314325</xdr:colOff>
      <xdr:row>83</xdr:row>
      <xdr:rowOff>80962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ED8BFFE-D3EB-4651-B232-478354513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590550</xdr:colOff>
      <xdr:row>130</xdr:row>
      <xdr:rowOff>0</xdr:rowOff>
    </xdr:from>
    <xdr:to>
      <xdr:col>40</xdr:col>
      <xdr:colOff>552450</xdr:colOff>
      <xdr:row>144</xdr:row>
      <xdr:rowOff>109537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EECC4C9-DC6F-C935-E064-F8EAC0A8C8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600075</xdr:colOff>
      <xdr:row>128</xdr:row>
      <xdr:rowOff>185737</xdr:rowOff>
    </xdr:from>
    <xdr:to>
      <xdr:col>21</xdr:col>
      <xdr:colOff>171450</xdr:colOff>
      <xdr:row>143</xdr:row>
      <xdr:rowOff>71437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806AD76-7E58-4643-88CB-78A0AC7521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214312</xdr:colOff>
      <xdr:row>21</xdr:row>
      <xdr:rowOff>0</xdr:rowOff>
    </xdr:from>
    <xdr:to>
      <xdr:col>21</xdr:col>
      <xdr:colOff>519112</xdr:colOff>
      <xdr:row>35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AE7C94-23F8-43EC-BE73-B940E125E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219075</xdr:colOff>
      <xdr:row>72</xdr:row>
      <xdr:rowOff>42862</xdr:rowOff>
    </xdr:from>
    <xdr:to>
      <xdr:col>27</xdr:col>
      <xdr:colOff>523875</xdr:colOff>
      <xdr:row>86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AF2CB3-C443-4A99-AE35-90310E47A7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100012</xdr:colOff>
      <xdr:row>21</xdr:row>
      <xdr:rowOff>76200</xdr:rowOff>
    </xdr:from>
    <xdr:to>
      <xdr:col>21</xdr:col>
      <xdr:colOff>404812</xdr:colOff>
      <xdr:row>35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77A133-F844-4552-AC96-EAFBE02CBF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519112</xdr:colOff>
      <xdr:row>75</xdr:row>
      <xdr:rowOff>80962</xdr:rowOff>
    </xdr:from>
    <xdr:to>
      <xdr:col>24</xdr:col>
      <xdr:colOff>214312</xdr:colOff>
      <xdr:row>89</xdr:row>
      <xdr:rowOff>157162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24C897-C3F4-4D2B-8C19-4A87176B8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604837</xdr:colOff>
      <xdr:row>30</xdr:row>
      <xdr:rowOff>147637</xdr:rowOff>
    </xdr:from>
    <xdr:to>
      <xdr:col>19</xdr:col>
      <xdr:colOff>300037</xdr:colOff>
      <xdr:row>44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23850A-88B4-4631-895D-33BB0CFC3A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76200</xdr:colOff>
      <xdr:row>28</xdr:row>
      <xdr:rowOff>23812</xdr:rowOff>
    </xdr:from>
    <xdr:to>
      <xdr:col>39</xdr:col>
      <xdr:colOff>381000</xdr:colOff>
      <xdr:row>42</xdr:row>
      <xdr:rowOff>100012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FDFF1E0-3EDD-4BEB-AFB5-24213AE6FF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280987</xdr:colOff>
      <xdr:row>21</xdr:row>
      <xdr:rowOff>166687</xdr:rowOff>
    </xdr:from>
    <xdr:to>
      <xdr:col>23</xdr:col>
      <xdr:colOff>585787</xdr:colOff>
      <xdr:row>36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2379E9-52DE-4FCF-A985-315DA1061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466725</xdr:colOff>
      <xdr:row>56</xdr:row>
      <xdr:rowOff>71437</xdr:rowOff>
    </xdr:from>
    <xdr:to>
      <xdr:col>21</xdr:col>
      <xdr:colOff>333375</xdr:colOff>
      <xdr:row>70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920A3C-63DC-471E-9B70-DAF7C1683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22</xdr:row>
      <xdr:rowOff>23812</xdr:rowOff>
    </xdr:from>
    <xdr:to>
      <xdr:col>21</xdr:col>
      <xdr:colOff>314325</xdr:colOff>
      <xdr:row>36</xdr:row>
      <xdr:rowOff>100012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E622C4-6B83-4C85-89E5-1BA6E1E4FC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590550</xdr:colOff>
      <xdr:row>33</xdr:row>
      <xdr:rowOff>176212</xdr:rowOff>
    </xdr:from>
    <xdr:to>
      <xdr:col>42</xdr:col>
      <xdr:colOff>285750</xdr:colOff>
      <xdr:row>48</xdr:row>
      <xdr:rowOff>61912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4619FF2-684C-4808-A649-AFD4FE7C7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7A45-7D60-4DB0-9A28-292AA4CAA9C9}">
  <dimension ref="B3:R6"/>
  <sheetViews>
    <sheetView workbookViewId="0">
      <selection activeCell="L6" sqref="L6:Q6"/>
    </sheetView>
  </sheetViews>
  <sheetFormatPr defaultRowHeight="15" x14ac:dyDescent="0.25"/>
  <cols>
    <col min="2" max="2" width="12.28515625" customWidth="1"/>
    <col min="3" max="3" width="13.28515625" customWidth="1"/>
    <col min="4" max="5" width="13.140625" customWidth="1"/>
    <col min="6" max="6" width="12.5703125" customWidth="1"/>
    <col min="7" max="7" width="13.7109375" customWidth="1"/>
    <col min="8" max="8" width="13.140625" customWidth="1"/>
    <col min="11" max="11" width="15.570312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18" x14ac:dyDescent="0.25">
      <c r="B3" s="4"/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K3" s="4"/>
      <c r="L3" s="7" t="s">
        <v>0</v>
      </c>
      <c r="M3" s="7" t="s">
        <v>1</v>
      </c>
      <c r="N3" s="7" t="s">
        <v>2</v>
      </c>
      <c r="O3" s="7" t="s">
        <v>3</v>
      </c>
      <c r="P3" s="7" t="s">
        <v>4</v>
      </c>
      <c r="Q3" s="7" t="s">
        <v>5</v>
      </c>
      <c r="R3" s="7" t="s">
        <v>6</v>
      </c>
    </row>
    <row r="4" spans="2:18" x14ac:dyDescent="0.25">
      <c r="B4" s="7" t="s">
        <v>7</v>
      </c>
      <c r="C4" s="4">
        <v>24962.589</v>
      </c>
      <c r="D4" s="4">
        <v>24298.933000000001</v>
      </c>
      <c r="E4" s="4">
        <v>19778.103999999999</v>
      </c>
      <c r="F4" s="4">
        <v>26196.518</v>
      </c>
      <c r="G4" s="4">
        <v>22837.397000000001</v>
      </c>
      <c r="H4" s="4">
        <v>24075.418000000001</v>
      </c>
      <c r="K4" s="7" t="s">
        <v>7</v>
      </c>
      <c r="L4" s="4">
        <f t="shared" ref="L4:Q4" si="0">C4/$R$4</f>
        <v>1.0847070202842641</v>
      </c>
      <c r="M4" s="4">
        <f t="shared" si="0"/>
        <v>1.0558689729866153</v>
      </c>
      <c r="N4" s="4">
        <f t="shared" si="0"/>
        <v>0.85942400672912123</v>
      </c>
      <c r="O4" s="4">
        <f t="shared" si="0"/>
        <v>1.1383253147982004</v>
      </c>
      <c r="P4" s="4">
        <f t="shared" si="0"/>
        <v>0.992360401836476</v>
      </c>
      <c r="Q4" s="4">
        <f t="shared" si="0"/>
        <v>1.0461565072788781</v>
      </c>
      <c r="R4" s="4">
        <f>AVERAGE(C4:E4)</f>
        <v>23013.208666666662</v>
      </c>
    </row>
    <row r="5" spans="2:18" x14ac:dyDescent="0.25">
      <c r="B5" s="7" t="s">
        <v>8</v>
      </c>
      <c r="C5" s="4">
        <v>1.2254100000000001</v>
      </c>
      <c r="D5" s="4">
        <v>1.1172299999999999</v>
      </c>
      <c r="E5" s="4">
        <v>0.93711</v>
      </c>
      <c r="F5" s="4">
        <v>80718.764752268326</v>
      </c>
      <c r="G5" s="4">
        <v>70840.100566388108</v>
      </c>
      <c r="H5" s="4">
        <v>74559.971784298759</v>
      </c>
      <c r="K5" s="7" t="s">
        <v>8</v>
      </c>
      <c r="L5" s="4">
        <f t="shared" ref="L5:Q5" si="1">C5/$R$5</f>
        <v>1.1208872627486852</v>
      </c>
      <c r="M5" s="4">
        <f t="shared" si="1"/>
        <v>1.0219345986736792</v>
      </c>
      <c r="N5" s="4">
        <f t="shared" si="1"/>
        <v>0.85717813857763547</v>
      </c>
      <c r="O5" s="4">
        <f t="shared" si="1"/>
        <v>73833.766066561468</v>
      </c>
      <c r="P5" s="4">
        <f t="shared" si="1"/>
        <v>64797.713758415826</v>
      </c>
      <c r="Q5" s="4">
        <f t="shared" si="1"/>
        <v>68200.294337341649</v>
      </c>
      <c r="R5" s="4">
        <f>AVERAGE(C5:E5)</f>
        <v>1.0932500000000001</v>
      </c>
    </row>
    <row r="6" spans="2:18" x14ac:dyDescent="0.25">
      <c r="K6" s="7" t="s">
        <v>9</v>
      </c>
      <c r="L6" s="35">
        <f t="shared" ref="L6:Q6" si="2">L5/L4</f>
        <v>1.0333548523129679</v>
      </c>
      <c r="M6" s="35">
        <f t="shared" si="2"/>
        <v>0.96786118810087785</v>
      </c>
      <c r="N6" s="35">
        <f t="shared" si="2"/>
        <v>0.99738677517278895</v>
      </c>
      <c r="O6" s="35">
        <f t="shared" si="2"/>
        <v>64861.744798893924</v>
      </c>
      <c r="P6" s="35">
        <f t="shared" si="2"/>
        <v>65296.553186221732</v>
      </c>
      <c r="Q6" s="35">
        <f t="shared" si="2"/>
        <v>65191.291993905485</v>
      </c>
      <c r="R6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6"/>
  <sheetViews>
    <sheetView workbookViewId="0">
      <selection activeCell="L11" sqref="L11"/>
    </sheetView>
  </sheetViews>
  <sheetFormatPr defaultRowHeight="15" x14ac:dyDescent="0.25"/>
  <cols>
    <col min="2" max="2" width="12.28515625" customWidth="1"/>
    <col min="3" max="3" width="13.28515625" customWidth="1"/>
    <col min="4" max="5" width="13.140625" customWidth="1"/>
    <col min="6" max="6" width="12.5703125" customWidth="1"/>
    <col min="7" max="7" width="13.7109375" customWidth="1"/>
    <col min="8" max="8" width="13.140625" customWidth="1"/>
    <col min="11" max="11" width="15.570312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14" x14ac:dyDescent="0.25">
      <c r="B3" s="4"/>
      <c r="C3" s="157" t="s">
        <v>11</v>
      </c>
      <c r="D3" s="157"/>
      <c r="E3" s="157"/>
      <c r="F3" s="157"/>
      <c r="G3" s="157"/>
      <c r="H3" s="157"/>
      <c r="I3" s="157" t="s">
        <v>263</v>
      </c>
      <c r="J3" s="157"/>
      <c r="K3" s="157"/>
      <c r="L3" s="157"/>
      <c r="M3" s="157"/>
      <c r="N3" s="157"/>
    </row>
    <row r="4" spans="2:14" x14ac:dyDescent="0.25">
      <c r="B4" s="7" t="s">
        <v>16</v>
      </c>
      <c r="C4" s="123">
        <v>0.86737600000000004</v>
      </c>
      <c r="D4" s="123">
        <v>0.93815899999999997</v>
      </c>
      <c r="E4" s="123">
        <v>0.47628700000000002</v>
      </c>
      <c r="F4" s="123">
        <v>1.4491879999999999</v>
      </c>
      <c r="G4" s="123">
        <v>1.142922</v>
      </c>
      <c r="H4" s="123">
        <v>1.126069</v>
      </c>
      <c r="I4" s="123">
        <v>0.96545599999999998</v>
      </c>
      <c r="J4" s="123">
        <v>0.99589799999999995</v>
      </c>
      <c r="K4" s="123">
        <v>1.2913330000000001</v>
      </c>
      <c r="L4" s="123">
        <v>1.269012</v>
      </c>
      <c r="M4" s="123"/>
      <c r="N4" s="123"/>
    </row>
    <row r="5" spans="2:14" x14ac:dyDescent="0.25">
      <c r="B5" s="7" t="s">
        <v>575</v>
      </c>
      <c r="C5" s="123">
        <v>1.389011</v>
      </c>
      <c r="D5" s="123">
        <v>1.211279</v>
      </c>
      <c r="E5" s="123">
        <v>1.054368</v>
      </c>
      <c r="F5" s="123">
        <v>1.112323</v>
      </c>
      <c r="G5" s="123">
        <v>0.94579400000000002</v>
      </c>
      <c r="H5" s="123"/>
      <c r="I5" s="123">
        <v>3.3767649999999998</v>
      </c>
      <c r="J5" s="123">
        <v>3.012273</v>
      </c>
      <c r="K5" s="123">
        <v>2.73251</v>
      </c>
      <c r="L5" s="123">
        <v>2.6169699999999998</v>
      </c>
      <c r="M5" s="123">
        <v>2.4461949999999999</v>
      </c>
      <c r="N5" s="123"/>
    </row>
    <row r="6" spans="2:14" x14ac:dyDescent="0.25">
      <c r="B6" s="7" t="s">
        <v>576</v>
      </c>
      <c r="C6" s="123">
        <v>4.1755990000000001</v>
      </c>
      <c r="D6" s="123">
        <v>2.2784559999999998</v>
      </c>
      <c r="E6" s="123">
        <v>4.0046140000000001</v>
      </c>
      <c r="F6" s="123">
        <v>4.382485</v>
      </c>
      <c r="G6" s="123">
        <v>2.874069</v>
      </c>
      <c r="H6" s="123"/>
      <c r="I6" s="123">
        <v>1.022187</v>
      </c>
      <c r="J6" s="123">
        <v>1.1590860000000001</v>
      </c>
      <c r="K6" s="123">
        <v>0.88510500000000003</v>
      </c>
      <c r="L6" s="123">
        <v>0.81932799999999995</v>
      </c>
      <c r="M6" s="123"/>
      <c r="N6" s="123"/>
    </row>
  </sheetData>
  <mergeCells count="2">
    <mergeCell ref="C3:H3"/>
    <mergeCell ref="I3:N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6A31-5FF7-4CC3-B50C-A8CB8EC9B470}">
  <dimension ref="B3:E6"/>
  <sheetViews>
    <sheetView tabSelected="1" workbookViewId="0">
      <selection activeCell="D36" sqref="D36"/>
    </sheetView>
  </sheetViews>
  <sheetFormatPr defaultRowHeight="15" x14ac:dyDescent="0.25"/>
  <cols>
    <col min="2" max="2" width="12.28515625" customWidth="1"/>
    <col min="3" max="3" width="15" customWidth="1"/>
    <col min="4" max="5" width="13.140625" customWidth="1"/>
    <col min="6" max="6" width="12.5703125" customWidth="1"/>
    <col min="7" max="7" width="13.7109375" customWidth="1"/>
    <col min="8" max="8" width="13.140625" customWidth="1"/>
    <col min="11" max="11" width="15.570312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5" x14ac:dyDescent="0.25">
      <c r="B3" s="5" t="s">
        <v>16</v>
      </c>
      <c r="C3" s="5" t="s">
        <v>11</v>
      </c>
      <c r="D3" s="5" t="s">
        <v>27</v>
      </c>
      <c r="E3" s="5" t="s">
        <v>30</v>
      </c>
    </row>
    <row r="4" spans="2:5" x14ac:dyDescent="0.25">
      <c r="B4" s="10">
        <v>0.98499999999999999</v>
      </c>
      <c r="C4" s="10">
        <v>1.33</v>
      </c>
      <c r="D4" s="10">
        <v>1</v>
      </c>
      <c r="E4" s="10">
        <v>2.94</v>
      </c>
    </row>
    <row r="5" spans="2:5" x14ac:dyDescent="0.25">
      <c r="B5" s="10">
        <v>1.0149999999999999</v>
      </c>
      <c r="C5" s="10">
        <v>1.2418940000000001</v>
      </c>
      <c r="D5" s="10">
        <v>0.951905</v>
      </c>
      <c r="E5" s="10">
        <v>2.0607549999999999</v>
      </c>
    </row>
    <row r="6" spans="2:5" x14ac:dyDescent="0.25">
      <c r="B6" s="10">
        <v>1</v>
      </c>
      <c r="C6" s="10">
        <v>1.2151650000000001</v>
      </c>
      <c r="D6" s="10">
        <v>1.048095</v>
      </c>
      <c r="E6" s="10">
        <v>1.8418159999999999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3CDE-A8EF-4130-A70B-44A7CE4E2CB6}">
  <dimension ref="B3:N6"/>
  <sheetViews>
    <sheetView workbookViewId="0">
      <selection activeCell="E31" sqref="E31"/>
    </sheetView>
  </sheetViews>
  <sheetFormatPr defaultRowHeight="15" x14ac:dyDescent="0.25"/>
  <cols>
    <col min="2" max="2" width="12.28515625" customWidth="1"/>
    <col min="3" max="3" width="13.28515625" customWidth="1"/>
    <col min="4" max="5" width="13.140625" customWidth="1"/>
    <col min="6" max="6" width="12.5703125" customWidth="1"/>
    <col min="7" max="7" width="13.7109375" customWidth="1"/>
    <col min="8" max="8" width="13.140625" customWidth="1"/>
    <col min="11" max="11" width="15.570312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14" x14ac:dyDescent="0.25">
      <c r="B3" s="4"/>
      <c r="C3" s="158" t="s">
        <v>11</v>
      </c>
      <c r="D3" s="158"/>
      <c r="E3" s="158"/>
      <c r="F3" s="158"/>
      <c r="G3" s="158"/>
      <c r="H3" s="158"/>
      <c r="I3" s="158" t="s">
        <v>12</v>
      </c>
      <c r="J3" s="158"/>
      <c r="K3" s="158"/>
      <c r="L3" s="158"/>
      <c r="M3" s="158"/>
      <c r="N3" s="158"/>
    </row>
    <row r="4" spans="2:14" x14ac:dyDescent="0.25">
      <c r="B4" s="8" t="s">
        <v>13</v>
      </c>
      <c r="C4" s="10">
        <v>0.70091199999999998</v>
      </c>
      <c r="D4" s="10">
        <v>1.131327</v>
      </c>
      <c r="E4" s="10">
        <v>1.167761</v>
      </c>
      <c r="F4" s="10"/>
      <c r="G4" s="10"/>
      <c r="H4" s="10"/>
      <c r="I4" s="10">
        <v>0.89442900000000003</v>
      </c>
      <c r="J4" s="10">
        <v>0.78606799999999999</v>
      </c>
      <c r="K4" s="10">
        <v>1.3195030000000001</v>
      </c>
      <c r="L4" s="10"/>
      <c r="M4" s="10"/>
      <c r="N4" s="10"/>
    </row>
    <row r="5" spans="2:14" x14ac:dyDescent="0.25">
      <c r="B5" s="9" t="s">
        <v>14</v>
      </c>
      <c r="C5" s="10">
        <v>0.270872</v>
      </c>
      <c r="D5" s="10">
        <v>0.40375299999999997</v>
      </c>
      <c r="E5" s="10">
        <v>0.46039099999999999</v>
      </c>
      <c r="F5" s="10">
        <v>0.41508099999999998</v>
      </c>
      <c r="G5" s="10">
        <v>0.51524800000000004</v>
      </c>
      <c r="H5" s="10">
        <v>0.43204199999999998</v>
      </c>
      <c r="I5" s="10">
        <v>0.78312899999999996</v>
      </c>
      <c r="J5" s="10">
        <v>1.118493</v>
      </c>
      <c r="K5" s="10">
        <v>1.1315299999999999</v>
      </c>
      <c r="L5" s="10">
        <v>1.329162</v>
      </c>
      <c r="M5" s="10"/>
      <c r="N5" s="10"/>
    </row>
    <row r="6" spans="2:14" x14ac:dyDescent="0.25">
      <c r="B6" s="8" t="s">
        <v>15</v>
      </c>
      <c r="C6" s="10">
        <v>0.44262800000000002</v>
      </c>
      <c r="D6" s="10">
        <v>0.199516</v>
      </c>
      <c r="E6" s="10">
        <v>0.60594400000000004</v>
      </c>
      <c r="F6" s="10"/>
      <c r="G6" s="10"/>
      <c r="H6" s="10"/>
      <c r="I6" s="10">
        <v>1.1647190000000001</v>
      </c>
      <c r="J6" s="10">
        <v>1.311347</v>
      </c>
      <c r="K6" s="10">
        <v>1.347296</v>
      </c>
      <c r="L6" s="10"/>
      <c r="M6" s="10"/>
      <c r="N6" s="10"/>
    </row>
  </sheetData>
  <mergeCells count="2">
    <mergeCell ref="C3:H3"/>
    <mergeCell ref="I3:N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4DBC2-C536-422D-9915-15D1DD2B670E}">
  <dimension ref="B3:R6"/>
  <sheetViews>
    <sheetView workbookViewId="0">
      <selection activeCell="B3" sqref="B3:R6"/>
    </sheetView>
  </sheetViews>
  <sheetFormatPr defaultRowHeight="15" x14ac:dyDescent="0.25"/>
  <cols>
    <col min="2" max="2" width="12.28515625" customWidth="1"/>
    <col min="3" max="3" width="13.28515625" customWidth="1"/>
    <col min="4" max="5" width="13.140625" customWidth="1"/>
    <col min="6" max="6" width="12.5703125" customWidth="1"/>
    <col min="7" max="7" width="13.7109375" customWidth="1"/>
    <col min="8" max="8" width="13.140625" customWidth="1"/>
    <col min="11" max="11" width="15.570312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18" x14ac:dyDescent="0.25">
      <c r="B3" s="4"/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K3" s="4"/>
      <c r="L3" s="7" t="s">
        <v>18</v>
      </c>
      <c r="M3" s="7" t="s">
        <v>19</v>
      </c>
      <c r="N3" s="7" t="s">
        <v>20</v>
      </c>
      <c r="O3" s="7" t="s">
        <v>21</v>
      </c>
      <c r="P3" s="7" t="s">
        <v>22</v>
      </c>
      <c r="Q3" s="7" t="s">
        <v>23</v>
      </c>
      <c r="R3" s="7" t="s">
        <v>6</v>
      </c>
    </row>
    <row r="4" spans="2:18" x14ac:dyDescent="0.25">
      <c r="B4" s="7" t="s">
        <v>24</v>
      </c>
      <c r="C4" s="4">
        <v>57190.207999999999</v>
      </c>
      <c r="D4" s="4">
        <v>58605.773000000001</v>
      </c>
      <c r="E4" s="4">
        <v>60710.186999999998</v>
      </c>
      <c r="F4" s="4">
        <v>51295.701999999997</v>
      </c>
      <c r="G4" s="4">
        <v>56619.53</v>
      </c>
      <c r="H4" s="4">
        <v>47416.207999999999</v>
      </c>
      <c r="K4" s="7" t="s">
        <v>24</v>
      </c>
      <c r="L4" s="4">
        <f>C4/$R$4</f>
        <v>0.97203755508419398</v>
      </c>
      <c r="M4" s="4">
        <f t="shared" ref="M4:Q4" si="0">D4/$R$4</f>
        <v>0.99609730918865114</v>
      </c>
      <c r="N4" s="4">
        <f t="shared" si="0"/>
        <v>1.0318651357271549</v>
      </c>
      <c r="O4" s="4">
        <f t="shared" si="0"/>
        <v>0.87185115253309442</v>
      </c>
      <c r="P4" s="4">
        <f t="shared" si="0"/>
        <v>0.9623379846986424</v>
      </c>
      <c r="Q4" s="4">
        <f t="shared" si="0"/>
        <v>0.80591304888563442</v>
      </c>
      <c r="R4" s="4">
        <f>AVERAGE(C4:E4)</f>
        <v>58835.389333333333</v>
      </c>
    </row>
    <row r="5" spans="2:18" x14ac:dyDescent="0.25">
      <c r="B5" s="7" t="s">
        <v>25</v>
      </c>
      <c r="C5" s="4">
        <v>87711.642999999996</v>
      </c>
      <c r="D5" s="4">
        <v>83086.127999999997</v>
      </c>
      <c r="E5" s="4">
        <v>70846.664000000004</v>
      </c>
      <c r="F5" s="4">
        <v>40854.35</v>
      </c>
      <c r="G5" s="4">
        <v>45034.078000000001</v>
      </c>
      <c r="H5" s="4">
        <v>55090.906999999999</v>
      </c>
      <c r="K5" s="7" t="s">
        <v>25</v>
      </c>
      <c r="L5" s="4">
        <f>C5/$R$5</f>
        <v>1.0889343634170594</v>
      </c>
      <c r="M5" s="4">
        <f t="shared" ref="M5:Q5" si="1">D5/$R$5</f>
        <v>1.0315088944630568</v>
      </c>
      <c r="N5" s="4">
        <f t="shared" si="1"/>
        <v>0.87955674211988366</v>
      </c>
      <c r="O5" s="4">
        <f t="shared" si="1"/>
        <v>0.50720410755579781</v>
      </c>
      <c r="P5" s="4">
        <f t="shared" si="1"/>
        <v>0.55909515979542423</v>
      </c>
      <c r="Q5" s="4">
        <f t="shared" si="1"/>
        <v>0.68395004006609961</v>
      </c>
      <c r="R5" s="4">
        <f>AVERAGE(C5:E5)</f>
        <v>80548.145000000004</v>
      </c>
    </row>
    <row r="6" spans="2:18" x14ac:dyDescent="0.25">
      <c r="K6" s="7" t="s">
        <v>26</v>
      </c>
      <c r="L6" s="4">
        <f t="shared" ref="L6:Q6" si="2">L5/L4</f>
        <v>1.1202595596450389</v>
      </c>
      <c r="M6" s="4">
        <f t="shared" si="2"/>
        <v>1.0355503272097477</v>
      </c>
      <c r="N6" s="4">
        <f t="shared" si="2"/>
        <v>0.8523950579065358</v>
      </c>
      <c r="O6" s="4">
        <f t="shared" si="2"/>
        <v>0.58175539033487134</v>
      </c>
      <c r="P6" s="4">
        <f t="shared" si="2"/>
        <v>0.58097588236684405</v>
      </c>
      <c r="Q6" s="4">
        <f t="shared" si="2"/>
        <v>0.84866480448706283</v>
      </c>
      <c r="R6" s="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546C-5E4F-4D47-BFA2-5358C18B1070}">
  <dimension ref="B3:E12"/>
  <sheetViews>
    <sheetView workbookViewId="0">
      <selection activeCell="G30" sqref="G30"/>
    </sheetView>
  </sheetViews>
  <sheetFormatPr defaultRowHeight="15" x14ac:dyDescent="0.25"/>
  <cols>
    <col min="2" max="2" width="12.28515625" customWidth="1"/>
    <col min="3" max="3" width="13.28515625" customWidth="1"/>
    <col min="4" max="5" width="13.140625" customWidth="1"/>
    <col min="6" max="6" width="12.5703125" customWidth="1"/>
    <col min="7" max="7" width="13.7109375" customWidth="1"/>
    <col min="8" max="8" width="13.140625" customWidth="1"/>
    <col min="11" max="11" width="15.570312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5" x14ac:dyDescent="0.25">
      <c r="B3" s="5" t="s">
        <v>27</v>
      </c>
      <c r="C3" s="5" t="s">
        <v>28</v>
      </c>
      <c r="D3" s="5" t="s">
        <v>29</v>
      </c>
      <c r="E3" s="5" t="s">
        <v>30</v>
      </c>
    </row>
    <row r="4" spans="2:5" x14ac:dyDescent="0.25">
      <c r="B4" s="10">
        <v>0.60601899999999997</v>
      </c>
      <c r="C4" s="10">
        <v>1.1851719999999999</v>
      </c>
      <c r="D4" s="10">
        <v>2.8152789999999999</v>
      </c>
      <c r="E4" s="10">
        <v>4.8433580000000003</v>
      </c>
    </row>
    <row r="5" spans="2:5" x14ac:dyDescent="0.25">
      <c r="B5" s="10">
        <v>0.54073099999999996</v>
      </c>
      <c r="C5" s="10">
        <v>1.426226</v>
      </c>
      <c r="D5" s="10">
        <v>2.1866650000000001</v>
      </c>
      <c r="E5" s="10">
        <v>4.5450350000000004</v>
      </c>
    </row>
    <row r="6" spans="2:5" x14ac:dyDescent="0.25">
      <c r="B6" s="10">
        <v>0.79511299999999996</v>
      </c>
      <c r="C6" s="10">
        <v>1.467044</v>
      </c>
      <c r="D6" s="10">
        <v>3.6368399999999999</v>
      </c>
      <c r="E6" s="10">
        <v>5.8349589999999996</v>
      </c>
    </row>
    <row r="7" spans="2:5" x14ac:dyDescent="0.25">
      <c r="B7" s="10">
        <v>1.1887129999999999</v>
      </c>
      <c r="C7" s="10">
        <v>1.5291030000000001</v>
      </c>
      <c r="D7" s="10">
        <v>3.2660439999999999</v>
      </c>
      <c r="E7" s="10">
        <v>2.7663389999999999</v>
      </c>
    </row>
    <row r="8" spans="2:5" x14ac:dyDescent="0.25">
      <c r="B8" s="10">
        <v>0.86196200000000001</v>
      </c>
      <c r="C8" s="10">
        <v>0.773142</v>
      </c>
      <c r="D8" s="10"/>
      <c r="E8" s="10">
        <v>2.7287490000000001</v>
      </c>
    </row>
    <row r="9" spans="2:5" x14ac:dyDescent="0.25">
      <c r="B9" s="10">
        <v>0.84374000000000005</v>
      </c>
      <c r="C9" s="10">
        <v>1.423206</v>
      </c>
      <c r="D9" s="10"/>
      <c r="E9" s="10">
        <v>2.748742</v>
      </c>
    </row>
    <row r="10" spans="2:5" x14ac:dyDescent="0.25">
      <c r="B10" s="10">
        <v>1.17049</v>
      </c>
      <c r="C10" s="10"/>
      <c r="D10" s="10"/>
      <c r="E10" s="10"/>
    </row>
    <row r="11" spans="2:5" x14ac:dyDescent="0.25">
      <c r="B11" s="10">
        <v>2.244351</v>
      </c>
      <c r="C11" s="10"/>
      <c r="D11" s="10"/>
      <c r="E11" s="10"/>
    </row>
    <row r="12" spans="2:5" x14ac:dyDescent="0.25">
      <c r="B12" s="10">
        <v>0.74888100000000002</v>
      </c>
      <c r="C12" s="10"/>
      <c r="D12" s="10"/>
      <c r="E12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09D24-6C3A-446E-A137-1FBDDCD26FC4}">
  <dimension ref="B3:R32"/>
  <sheetViews>
    <sheetView topLeftCell="A4" workbookViewId="0">
      <selection activeCell="C37" sqref="C37"/>
    </sheetView>
  </sheetViews>
  <sheetFormatPr defaultRowHeight="15" x14ac:dyDescent="0.25"/>
  <cols>
    <col min="2" max="2" width="12.28515625" customWidth="1"/>
    <col min="3" max="3" width="13.28515625" customWidth="1"/>
    <col min="4" max="5" width="13.140625" customWidth="1"/>
    <col min="6" max="6" width="12.5703125" customWidth="1"/>
    <col min="7" max="7" width="17.5703125" customWidth="1"/>
    <col min="8" max="8" width="18.140625" customWidth="1"/>
    <col min="9" max="9" width="17.7109375" customWidth="1"/>
    <col min="10" max="10" width="12" customWidth="1"/>
    <col min="11" max="11" width="19.8554687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18" x14ac:dyDescent="0.25">
      <c r="B3" t="s">
        <v>31</v>
      </c>
    </row>
    <row r="4" spans="2:18" x14ac:dyDescent="0.25">
      <c r="B4" t="s">
        <v>32</v>
      </c>
    </row>
    <row r="5" spans="2:18" x14ac:dyDescent="0.25">
      <c r="B5" t="s">
        <v>33</v>
      </c>
    </row>
    <row r="6" spans="2:18" x14ac:dyDescent="0.25">
      <c r="B6" t="s">
        <v>34</v>
      </c>
    </row>
    <row r="7" spans="2:18" x14ac:dyDescent="0.25">
      <c r="B7" t="s">
        <v>35</v>
      </c>
    </row>
    <row r="8" spans="2:18" x14ac:dyDescent="0.25">
      <c r="B8" t="s">
        <v>36</v>
      </c>
      <c r="C8" s="29"/>
      <c r="D8" s="29" t="s">
        <v>37</v>
      </c>
    </row>
    <row r="10" spans="2:18" x14ac:dyDescent="0.25">
      <c r="C10" s="11">
        <v>1</v>
      </c>
      <c r="D10" s="11">
        <v>2</v>
      </c>
      <c r="E10" s="11">
        <v>3</v>
      </c>
      <c r="F10" s="11">
        <v>4</v>
      </c>
      <c r="G10" s="11">
        <v>5</v>
      </c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11">
        <v>11</v>
      </c>
      <c r="N10" s="11">
        <v>12</v>
      </c>
    </row>
    <row r="11" spans="2:18" x14ac:dyDescent="0.25">
      <c r="B11" s="11" t="s">
        <v>38</v>
      </c>
      <c r="C11" s="12">
        <v>8307715</v>
      </c>
      <c r="D11" s="13">
        <v>8327986</v>
      </c>
      <c r="E11" s="34">
        <v>3836162</v>
      </c>
      <c r="F11" s="34">
        <v>4040967</v>
      </c>
      <c r="G11" s="34">
        <v>4812341</v>
      </c>
      <c r="H11" s="34">
        <v>4899652</v>
      </c>
      <c r="I11" s="34">
        <v>4485221</v>
      </c>
      <c r="J11" s="34">
        <v>4557563</v>
      </c>
      <c r="K11" s="34">
        <v>51781750</v>
      </c>
      <c r="L11" s="34">
        <v>5282890</v>
      </c>
      <c r="M11" s="34"/>
      <c r="N11" s="36"/>
      <c r="P11" s="11" t="s">
        <v>39</v>
      </c>
    </row>
    <row r="12" spans="2:18" x14ac:dyDescent="0.25">
      <c r="B12" s="11" t="s">
        <v>40</v>
      </c>
      <c r="C12" s="15">
        <v>7575287</v>
      </c>
      <c r="D12" s="16">
        <v>7955743</v>
      </c>
      <c r="E12">
        <v>4898714</v>
      </c>
      <c r="F12">
        <v>5017711</v>
      </c>
      <c r="G12">
        <v>4640662</v>
      </c>
      <c r="H12">
        <v>4743892</v>
      </c>
      <c r="I12">
        <v>6034595</v>
      </c>
      <c r="J12">
        <v>6167475</v>
      </c>
      <c r="K12">
        <v>4512530</v>
      </c>
      <c r="L12">
        <v>4603229</v>
      </c>
      <c r="N12" s="37"/>
      <c r="P12" s="11">
        <v>4</v>
      </c>
      <c r="Q12">
        <f t="shared" ref="Q12:Q17" si="0">AVERAGE(C11:D11)/1000</f>
        <v>8317.8505000000005</v>
      </c>
      <c r="R12">
        <f t="shared" ref="R12:R17" si="1">Q12-$Q$17</f>
        <v>8221.4825000000001</v>
      </c>
    </row>
    <row r="13" spans="2:18" x14ac:dyDescent="0.25">
      <c r="B13" s="11" t="s">
        <v>41</v>
      </c>
      <c r="C13" s="15">
        <v>5487117</v>
      </c>
      <c r="D13" s="16">
        <v>5854766</v>
      </c>
      <c r="E13">
        <v>3386602</v>
      </c>
      <c r="F13">
        <v>3458475</v>
      </c>
      <c r="G13">
        <v>4301652</v>
      </c>
      <c r="H13">
        <v>4379785</v>
      </c>
      <c r="I13">
        <v>6485791</v>
      </c>
      <c r="J13">
        <v>6622632</v>
      </c>
      <c r="K13">
        <v>5550539</v>
      </c>
      <c r="L13">
        <v>5674009</v>
      </c>
      <c r="N13" s="37"/>
      <c r="P13" s="11">
        <v>3.2</v>
      </c>
      <c r="Q13">
        <f t="shared" si="0"/>
        <v>7765.5150000000003</v>
      </c>
      <c r="R13">
        <f t="shared" si="1"/>
        <v>7669.1469999999999</v>
      </c>
    </row>
    <row r="14" spans="2:18" x14ac:dyDescent="0.25">
      <c r="B14" s="11" t="s">
        <v>42</v>
      </c>
      <c r="C14" s="15">
        <v>3953858</v>
      </c>
      <c r="D14" s="16">
        <v>3961232</v>
      </c>
      <c r="N14" s="37"/>
      <c r="P14" s="11">
        <v>2.4</v>
      </c>
      <c r="Q14">
        <f t="shared" si="0"/>
        <v>5670.9414999999999</v>
      </c>
      <c r="R14">
        <f t="shared" si="1"/>
        <v>5574.5734999999995</v>
      </c>
    </row>
    <row r="15" spans="2:18" x14ac:dyDescent="0.25">
      <c r="B15" s="11" t="s">
        <v>43</v>
      </c>
      <c r="C15" s="15">
        <v>2494499</v>
      </c>
      <c r="D15" s="16">
        <v>2244887</v>
      </c>
      <c r="N15" s="37"/>
      <c r="P15" s="11">
        <v>1.6</v>
      </c>
      <c r="Q15">
        <f t="shared" si="0"/>
        <v>3957.5450000000001</v>
      </c>
      <c r="R15">
        <f t="shared" si="1"/>
        <v>3861.1770000000001</v>
      </c>
    </row>
    <row r="16" spans="2:18" x14ac:dyDescent="0.25">
      <c r="B16" s="11" t="s">
        <v>44</v>
      </c>
      <c r="C16" s="15">
        <v>100255</v>
      </c>
      <c r="D16" s="16">
        <v>92481</v>
      </c>
      <c r="N16" s="37"/>
      <c r="P16" s="11">
        <v>0.8</v>
      </c>
      <c r="Q16">
        <f t="shared" si="0"/>
        <v>2369.6930000000002</v>
      </c>
      <c r="R16">
        <f t="shared" si="1"/>
        <v>2273.3250000000003</v>
      </c>
    </row>
    <row r="17" spans="2:18" x14ac:dyDescent="0.25">
      <c r="B17" s="11" t="s">
        <v>45</v>
      </c>
      <c r="C17" s="15"/>
      <c r="D17" s="16"/>
      <c r="E17" s="16"/>
      <c r="F17" s="16"/>
      <c r="H17" s="16"/>
      <c r="J17" s="16"/>
      <c r="L17" s="16"/>
      <c r="M17" s="16"/>
      <c r="N17" s="17"/>
      <c r="P17" s="11">
        <v>0</v>
      </c>
      <c r="Q17">
        <f t="shared" si="0"/>
        <v>96.367999999999995</v>
      </c>
      <c r="R17">
        <f t="shared" si="1"/>
        <v>0</v>
      </c>
    </row>
    <row r="18" spans="2:18" x14ac:dyDescent="0.25">
      <c r="B18" s="11" t="s">
        <v>46</v>
      </c>
      <c r="C18" s="18"/>
      <c r="D18" s="19"/>
      <c r="E18" s="19"/>
      <c r="F18" s="19"/>
      <c r="G18" s="19"/>
      <c r="H18" s="19"/>
      <c r="I18" s="19"/>
      <c r="J18" s="19"/>
      <c r="K18" s="38"/>
      <c r="L18" s="19"/>
      <c r="M18" s="19"/>
      <c r="N18" s="20"/>
    </row>
    <row r="20" spans="2:18" x14ac:dyDescent="0.25">
      <c r="E20" s="11" t="s">
        <v>47</v>
      </c>
      <c r="F20" s="11" t="s">
        <v>48</v>
      </c>
      <c r="G20" s="1" t="s">
        <v>39</v>
      </c>
      <c r="H20" s="1" t="s">
        <v>49</v>
      </c>
      <c r="I20" s="1" t="s">
        <v>50</v>
      </c>
      <c r="J20" s="1" t="s">
        <v>6</v>
      </c>
      <c r="K20" s="1" t="s">
        <v>51</v>
      </c>
    </row>
    <row r="21" spans="2:18" x14ac:dyDescent="0.25">
      <c r="C21" s="159" t="s">
        <v>27</v>
      </c>
      <c r="D21" s="11">
        <v>1</v>
      </c>
      <c r="E21">
        <f>AVERAGE(E11:F11)/1000</f>
        <v>3938.5645</v>
      </c>
      <c r="F21">
        <f>E21-$Q$17</f>
        <v>3842.1965</v>
      </c>
      <c r="G21">
        <f>(F21-147.74)/2329.9</f>
        <v>1.5856717026481824</v>
      </c>
      <c r="H21" s="3">
        <v>487</v>
      </c>
      <c r="I21">
        <f>G21/H21</f>
        <v>3.2559993894213188E-3</v>
      </c>
      <c r="J21">
        <f>AVERAGE(I21:I23)</f>
        <v>3.243332790675279E-3</v>
      </c>
      <c r="K21" s="39">
        <f t="shared" ref="K21:K32" si="2">I21/$J$21</f>
        <v>1.0039054267827394</v>
      </c>
    </row>
    <row r="22" spans="2:18" x14ac:dyDescent="0.25">
      <c r="C22" s="159"/>
      <c r="D22" s="11">
        <v>2</v>
      </c>
      <c r="E22">
        <f t="shared" ref="E22" si="3">AVERAGE(E12:F12)/1000</f>
        <v>4958.2124999999996</v>
      </c>
      <c r="F22">
        <f t="shared" ref="F22:F32" si="4">E22-$Q$17</f>
        <v>4861.8444999999992</v>
      </c>
      <c r="G22">
        <f t="shared" ref="G22:G32" si="5">(F22-147.74)/2329.9</f>
        <v>2.0233076526889562</v>
      </c>
      <c r="H22" s="3">
        <v>558</v>
      </c>
      <c r="I22">
        <f t="shared" ref="I22:I32" si="6">G22/H22</f>
        <v>3.6259993775787746E-3</v>
      </c>
      <c r="K22" s="39">
        <f t="shared" si="2"/>
        <v>1.1179856066585823</v>
      </c>
    </row>
    <row r="23" spans="2:18" x14ac:dyDescent="0.25">
      <c r="C23" s="159"/>
      <c r="D23" s="11">
        <v>3</v>
      </c>
      <c r="E23">
        <f>AVERAGE(E13:F13)/1000</f>
        <v>3422.5385000000001</v>
      </c>
      <c r="F23">
        <f t="shared" si="4"/>
        <v>3326.1705000000002</v>
      </c>
      <c r="G23">
        <f t="shared" si="5"/>
        <v>1.364191810807331</v>
      </c>
      <c r="H23" s="3">
        <v>479</v>
      </c>
      <c r="I23">
        <f t="shared" si="6"/>
        <v>2.847999605025743E-3</v>
      </c>
      <c r="K23" s="39">
        <f t="shared" si="2"/>
        <v>0.87810896655867821</v>
      </c>
    </row>
    <row r="24" spans="2:18" x14ac:dyDescent="0.25">
      <c r="C24" s="159" t="s">
        <v>28</v>
      </c>
      <c r="D24" s="11">
        <v>1</v>
      </c>
      <c r="E24">
        <f>AVERAGE(G11:H11)/1000</f>
        <v>4855.9965000000002</v>
      </c>
      <c r="F24">
        <f t="shared" si="4"/>
        <v>4759.6284999999998</v>
      </c>
      <c r="G24">
        <f t="shared" si="5"/>
        <v>1.9794362418987939</v>
      </c>
      <c r="H24" s="3">
        <v>455</v>
      </c>
      <c r="I24">
        <f t="shared" si="6"/>
        <v>4.3504093228544918E-3</v>
      </c>
      <c r="K24" s="39">
        <f t="shared" si="2"/>
        <v>1.3413391728909552</v>
      </c>
    </row>
    <row r="25" spans="2:18" x14ac:dyDescent="0.25">
      <c r="C25" s="159"/>
      <c r="D25" s="11">
        <v>2</v>
      </c>
      <c r="E25">
        <f t="shared" ref="E25:E26" si="7">AVERAGE(G12:H12)/1000</f>
        <v>4692.277</v>
      </c>
      <c r="F25">
        <f t="shared" si="4"/>
        <v>4595.9089999999997</v>
      </c>
      <c r="G25">
        <f t="shared" si="5"/>
        <v>1.9091673462380359</v>
      </c>
      <c r="H25" s="3">
        <v>489</v>
      </c>
      <c r="I25">
        <f t="shared" si="6"/>
        <v>3.9042277019182736E-3</v>
      </c>
      <c r="K25" s="39">
        <f t="shared" si="2"/>
        <v>1.2037703047751054</v>
      </c>
    </row>
    <row r="26" spans="2:18" x14ac:dyDescent="0.25">
      <c r="C26" s="159"/>
      <c r="D26" s="11">
        <v>3</v>
      </c>
      <c r="E26">
        <f t="shared" si="7"/>
        <v>4340.7184999999999</v>
      </c>
      <c r="F26">
        <f t="shared" si="4"/>
        <v>4244.3504999999996</v>
      </c>
      <c r="G26">
        <f t="shared" si="5"/>
        <v>1.7582773938795655</v>
      </c>
      <c r="H26" s="3">
        <v>441</v>
      </c>
      <c r="I26">
        <f t="shared" si="6"/>
        <v>3.9870235688879039E-3</v>
      </c>
      <c r="K26" s="39">
        <f t="shared" si="2"/>
        <v>1.2292983255837229</v>
      </c>
    </row>
    <row r="27" spans="2:18" x14ac:dyDescent="0.25">
      <c r="C27" s="159" t="s">
        <v>29</v>
      </c>
      <c r="D27" s="11">
        <v>1</v>
      </c>
      <c r="E27">
        <f>AVERAGE(I11:J11)/1000</f>
        <v>4521.3919999999998</v>
      </c>
      <c r="F27">
        <f t="shared" si="4"/>
        <v>4425.0239999999994</v>
      </c>
      <c r="G27">
        <f t="shared" si="5"/>
        <v>1.8358229966951369</v>
      </c>
      <c r="H27" s="3">
        <v>399</v>
      </c>
      <c r="I27">
        <f t="shared" si="6"/>
        <v>4.6010601420930749E-3</v>
      </c>
      <c r="K27" s="39">
        <f t="shared" si="2"/>
        <v>1.4186210417017089</v>
      </c>
    </row>
    <row r="28" spans="2:18" x14ac:dyDescent="0.25">
      <c r="C28" s="159"/>
      <c r="D28" s="11">
        <v>2</v>
      </c>
      <c r="E28">
        <f t="shared" ref="E28:E29" si="8">AVERAGE(I12:J12)/1000</f>
        <v>6101.0349999999999</v>
      </c>
      <c r="F28">
        <f t="shared" si="4"/>
        <v>6004.6669999999995</v>
      </c>
      <c r="G28">
        <f t="shared" si="5"/>
        <v>2.5138104639684102</v>
      </c>
      <c r="H28" s="3">
        <v>545</v>
      </c>
      <c r="I28">
        <f t="shared" si="6"/>
        <v>4.6124962641622205E-3</v>
      </c>
      <c r="K28" s="39">
        <f t="shared" si="2"/>
        <v>1.4221470819841076</v>
      </c>
    </row>
    <row r="29" spans="2:18" x14ac:dyDescent="0.25">
      <c r="C29" s="159"/>
      <c r="D29" s="11">
        <v>3</v>
      </c>
      <c r="E29">
        <f t="shared" si="8"/>
        <v>6554.2115000000003</v>
      </c>
      <c r="F29">
        <f t="shared" si="4"/>
        <v>6457.8434999999999</v>
      </c>
      <c r="G29">
        <f t="shared" si="5"/>
        <v>2.7083151637409331</v>
      </c>
      <c r="H29" s="3">
        <v>575</v>
      </c>
      <c r="I29">
        <f t="shared" si="6"/>
        <v>4.7101133282451014E-3</v>
      </c>
      <c r="K29" s="39">
        <f t="shared" si="2"/>
        <v>1.4522448457299477</v>
      </c>
    </row>
    <row r="30" spans="2:18" x14ac:dyDescent="0.25">
      <c r="C30" s="159" t="s">
        <v>30</v>
      </c>
      <c r="D30" s="11">
        <v>1</v>
      </c>
      <c r="E30">
        <f>AVERAGE(K11:L11)/1000</f>
        <v>28532.32</v>
      </c>
      <c r="F30">
        <f t="shared" si="4"/>
        <v>28435.952000000001</v>
      </c>
      <c r="G30">
        <f t="shared" si="5"/>
        <v>12.141384608781491</v>
      </c>
      <c r="H30" s="3">
        <v>478</v>
      </c>
      <c r="I30">
        <f t="shared" si="6"/>
        <v>2.540038621083994E-2</v>
      </c>
      <c r="K30" s="39">
        <f t="shared" si="2"/>
        <v>7.8315695151194911</v>
      </c>
    </row>
    <row r="31" spans="2:18" x14ac:dyDescent="0.25">
      <c r="C31" s="159"/>
      <c r="D31" s="11">
        <v>2</v>
      </c>
      <c r="E31">
        <f t="shared" ref="E31:E32" si="9">AVERAGE(K12:L12)/1000</f>
        <v>4557.8795</v>
      </c>
      <c r="F31">
        <f t="shared" si="4"/>
        <v>4461.5114999999996</v>
      </c>
      <c r="G31">
        <f t="shared" si="5"/>
        <v>1.8514835400660972</v>
      </c>
      <c r="H31" s="3">
        <v>394</v>
      </c>
      <c r="I31">
        <f t="shared" si="6"/>
        <v>4.6991968021982159E-3</v>
      </c>
      <c r="K31" s="39">
        <f t="shared" si="2"/>
        <v>1.4488790097977637</v>
      </c>
    </row>
    <row r="32" spans="2:18" x14ac:dyDescent="0.25">
      <c r="C32" s="159"/>
      <c r="D32" s="11">
        <v>3</v>
      </c>
      <c r="E32">
        <f t="shared" si="9"/>
        <v>5612.2740000000003</v>
      </c>
      <c r="F32">
        <f t="shared" si="4"/>
        <v>5515.9059999999999</v>
      </c>
      <c r="G32">
        <f t="shared" si="5"/>
        <v>2.3040327911069145</v>
      </c>
      <c r="H32" s="3">
        <v>447</v>
      </c>
      <c r="I32">
        <f t="shared" si="6"/>
        <v>5.1544357742883996E-3</v>
      </c>
      <c r="K32" s="39">
        <f t="shared" si="2"/>
        <v>1.5892404840809502</v>
      </c>
    </row>
  </sheetData>
  <mergeCells count="4">
    <mergeCell ref="C21:C23"/>
    <mergeCell ref="C24:C26"/>
    <mergeCell ref="C27:C29"/>
    <mergeCell ref="C30:C3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30EE-C39F-4438-8DE7-C9917B6490CA}">
  <dimension ref="B3:C7"/>
  <sheetViews>
    <sheetView workbookViewId="0">
      <selection activeCell="K31" sqref="K31"/>
    </sheetView>
  </sheetViews>
  <sheetFormatPr defaultRowHeight="15" x14ac:dyDescent="0.25"/>
  <cols>
    <col min="2" max="2" width="12.28515625" customWidth="1"/>
    <col min="3" max="3" width="13.28515625" customWidth="1"/>
    <col min="4" max="5" width="13.140625" customWidth="1"/>
    <col min="6" max="6" width="12.5703125" customWidth="1"/>
    <col min="7" max="7" width="13.7109375" customWidth="1"/>
    <col min="8" max="8" width="13.140625" customWidth="1"/>
    <col min="11" max="11" width="15.570312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3" x14ac:dyDescent="0.25">
      <c r="B3" s="5" t="s">
        <v>27</v>
      </c>
      <c r="C3" s="5" t="s">
        <v>52</v>
      </c>
    </row>
    <row r="4" spans="2:3" x14ac:dyDescent="0.25">
      <c r="B4" s="10">
        <v>1.039029</v>
      </c>
      <c r="C4" s="10">
        <v>26.492429999999999</v>
      </c>
    </row>
    <row r="5" spans="2:3" x14ac:dyDescent="0.25">
      <c r="B5" s="10">
        <v>0.104158</v>
      </c>
      <c r="C5" s="10">
        <v>26.247689999999999</v>
      </c>
    </row>
    <row r="6" spans="2:3" x14ac:dyDescent="0.25">
      <c r="B6" s="10">
        <v>1.3176159999999999</v>
      </c>
      <c r="C6" s="10">
        <v>33.292850000000001</v>
      </c>
    </row>
    <row r="7" spans="2:3" x14ac:dyDescent="0.25">
      <c r="B7" s="10">
        <v>1.5391969999999999</v>
      </c>
      <c r="C7" s="10">
        <v>11.750640000000001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17DC-A231-4EEF-86F7-98482F146816}">
  <dimension ref="B3:J5"/>
  <sheetViews>
    <sheetView workbookViewId="0">
      <selection activeCell="K29" sqref="K29"/>
    </sheetView>
  </sheetViews>
  <sheetFormatPr defaultRowHeight="15" x14ac:dyDescent="0.25"/>
  <cols>
    <col min="2" max="2" width="11.85546875" customWidth="1"/>
    <col min="3" max="3" width="15.5703125" customWidth="1"/>
    <col min="4" max="4" width="13.85546875" customWidth="1"/>
    <col min="5" max="5" width="12.28515625" customWidth="1"/>
    <col min="8" max="8" width="18.42578125" customWidth="1"/>
    <col min="9" max="9" width="14.42578125" customWidth="1"/>
    <col min="10" max="10" width="13" customWidth="1"/>
  </cols>
  <sheetData>
    <row r="3" spans="2:10" x14ac:dyDescent="0.25">
      <c r="B3" s="4"/>
      <c r="C3" s="158" t="s">
        <v>11</v>
      </c>
      <c r="D3" s="158"/>
      <c r="E3" s="158"/>
      <c r="F3" s="158"/>
      <c r="G3" s="158" t="s">
        <v>53</v>
      </c>
      <c r="H3" s="158"/>
      <c r="I3" s="158"/>
      <c r="J3" s="158"/>
    </row>
    <row r="4" spans="2:10" x14ac:dyDescent="0.25">
      <c r="B4" s="7" t="s">
        <v>54</v>
      </c>
      <c r="C4" s="6">
        <v>2.7761439999999999</v>
      </c>
      <c r="D4" s="6">
        <v>3.4736760000000002</v>
      </c>
      <c r="E4" s="6">
        <v>3.223544</v>
      </c>
      <c r="F4" s="6">
        <v>3.2053690000000001</v>
      </c>
      <c r="G4" s="6">
        <v>2.3729809999999998</v>
      </c>
      <c r="H4" s="6">
        <v>3.1153819999999999</v>
      </c>
      <c r="I4" s="6">
        <v>3.0313650000000001</v>
      </c>
      <c r="J4" s="6">
        <v>2.4557579999999999</v>
      </c>
    </row>
    <row r="5" spans="2:10" x14ac:dyDescent="0.25">
      <c r="B5" s="7" t="s">
        <v>55</v>
      </c>
      <c r="C5" s="6">
        <v>4.558853</v>
      </c>
      <c r="D5" s="6">
        <v>6.2806249999999997</v>
      </c>
      <c r="E5" s="6">
        <v>3.4220959999999998</v>
      </c>
      <c r="F5" s="6">
        <v>3.902253</v>
      </c>
      <c r="G5" s="6">
        <v>2.1773159999999998</v>
      </c>
      <c r="H5" s="6">
        <v>1.3506560000000001</v>
      </c>
      <c r="I5" s="6">
        <v>0.795184</v>
      </c>
      <c r="J5" s="6">
        <v>0.63616200000000001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74F6-D15A-4B51-AFE7-53E4C423B943}">
  <dimension ref="B3:R6"/>
  <sheetViews>
    <sheetView workbookViewId="0">
      <selection activeCell="P13" sqref="P13"/>
    </sheetView>
  </sheetViews>
  <sheetFormatPr defaultRowHeight="15" x14ac:dyDescent="0.25"/>
  <cols>
    <col min="2" max="2" width="11.85546875" customWidth="1"/>
    <col min="3" max="3" width="10" customWidth="1"/>
    <col min="4" max="4" width="8.28515625" customWidth="1"/>
    <col min="5" max="5" width="7.5703125" customWidth="1"/>
    <col min="6" max="6" width="10.85546875" customWidth="1"/>
    <col min="7" max="7" width="11.140625" customWidth="1"/>
    <col min="8" max="8" width="11.5703125" customWidth="1"/>
    <col min="9" max="9" width="14.42578125" customWidth="1"/>
    <col min="10" max="10" width="13" customWidth="1"/>
    <col min="11" max="11" width="16.140625" customWidth="1"/>
    <col min="15" max="15" width="11.42578125" customWidth="1"/>
    <col min="16" max="16" width="11" customWidth="1"/>
    <col min="17" max="17" width="12.140625" customWidth="1"/>
  </cols>
  <sheetData>
    <row r="3" spans="2:18" x14ac:dyDescent="0.25">
      <c r="B3" s="4"/>
      <c r="C3" s="7" t="s">
        <v>18</v>
      </c>
      <c r="D3" s="7" t="s">
        <v>19</v>
      </c>
      <c r="E3" s="7" t="s">
        <v>20</v>
      </c>
      <c r="F3" s="7" t="s">
        <v>56</v>
      </c>
      <c r="G3" s="7" t="s">
        <v>57</v>
      </c>
      <c r="H3" s="7" t="s">
        <v>58</v>
      </c>
      <c r="K3" s="4"/>
      <c r="L3" s="7" t="s">
        <v>18</v>
      </c>
      <c r="M3" s="7" t="s">
        <v>19</v>
      </c>
      <c r="N3" s="7" t="s">
        <v>20</v>
      </c>
      <c r="O3" s="7" t="s">
        <v>56</v>
      </c>
      <c r="P3" s="7" t="s">
        <v>57</v>
      </c>
      <c r="Q3" s="7" t="s">
        <v>58</v>
      </c>
      <c r="R3" s="7" t="s">
        <v>6</v>
      </c>
    </row>
    <row r="4" spans="2:18" x14ac:dyDescent="0.25">
      <c r="B4" s="7" t="s">
        <v>24</v>
      </c>
      <c r="C4" s="4">
        <v>138739.283</v>
      </c>
      <c r="D4" s="4">
        <v>161015.24100000001</v>
      </c>
      <c r="E4" s="4">
        <v>171383.60500000001</v>
      </c>
      <c r="F4" s="4">
        <v>151853.82699999999</v>
      </c>
      <c r="G4" s="4">
        <v>141253.12</v>
      </c>
      <c r="H4" s="4">
        <v>151856.43400000001</v>
      </c>
      <c r="K4" s="7" t="s">
        <v>24</v>
      </c>
      <c r="L4" s="4">
        <f>C4/$R$4</f>
        <v>0.88343061913377863</v>
      </c>
      <c r="M4" s="4">
        <f t="shared" ref="M4:Q4" si="0">D4/$R$4</f>
        <v>1.0252741038499138</v>
      </c>
      <c r="N4" s="4">
        <f t="shared" si="0"/>
        <v>1.091295277016308</v>
      </c>
      <c r="O4" s="4">
        <f t="shared" si="0"/>
        <v>0.96693825644495868</v>
      </c>
      <c r="P4" s="4">
        <f t="shared" si="0"/>
        <v>0.89943762543574568</v>
      </c>
      <c r="Q4" s="4">
        <f t="shared" si="0"/>
        <v>0.96695485667219283</v>
      </c>
      <c r="R4" s="4">
        <f>AVERAGE(C4:E4)</f>
        <v>157046.04299999998</v>
      </c>
    </row>
    <row r="5" spans="2:18" x14ac:dyDescent="0.25">
      <c r="B5" s="7" t="s">
        <v>59</v>
      </c>
      <c r="C5" s="4">
        <v>28658.309000000001</v>
      </c>
      <c r="D5" s="4">
        <v>28349.259536591217</v>
      </c>
      <c r="E5" s="4">
        <v>42708.345839329188</v>
      </c>
      <c r="F5" s="4">
        <v>5305.4989714989051</v>
      </c>
      <c r="G5" s="4">
        <v>9073.8769670222755</v>
      </c>
      <c r="H5" s="4">
        <v>9467.3491332508311</v>
      </c>
      <c r="K5" s="7" t="s">
        <v>59</v>
      </c>
      <c r="L5" s="4">
        <f>C5/$R$5</f>
        <v>0.86219865242254046</v>
      </c>
      <c r="M5" s="4">
        <f t="shared" ref="M5:Q5" si="1">D5/$R$5</f>
        <v>0.85290075452901981</v>
      </c>
      <c r="N5" s="4">
        <f t="shared" si="1"/>
        <v>1.2849005930484396</v>
      </c>
      <c r="O5" s="4">
        <f t="shared" si="1"/>
        <v>0.15961842213563718</v>
      </c>
      <c r="P5" s="4">
        <f t="shared" si="1"/>
        <v>0.27299183958183065</v>
      </c>
      <c r="Q5" s="4">
        <f t="shared" si="1"/>
        <v>0.28482963404095379</v>
      </c>
      <c r="R5" s="4">
        <f>AVERAGE(C5:E5)</f>
        <v>33238.638125306803</v>
      </c>
    </row>
    <row r="6" spans="2:18" x14ac:dyDescent="0.25">
      <c r="K6" s="7" t="s">
        <v>60</v>
      </c>
      <c r="L6" s="4">
        <f t="shared" ref="L6:Q6" si="2">L5/L4</f>
        <v>0.97596645820126027</v>
      </c>
      <c r="M6" s="4">
        <f t="shared" si="2"/>
        <v>0.83187583820401734</v>
      </c>
      <c r="N6" s="4">
        <f t="shared" si="2"/>
        <v>1.1774087363059653</v>
      </c>
      <c r="O6" s="4">
        <f t="shared" si="2"/>
        <v>0.16507612670377697</v>
      </c>
      <c r="P6" s="4">
        <f t="shared" si="2"/>
        <v>0.30351392010043582</v>
      </c>
      <c r="Q6" s="4">
        <f t="shared" si="2"/>
        <v>0.29456352804432301</v>
      </c>
      <c r="R6" s="4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0DEAD-DD6D-4C7C-85BB-A43913DECB23}">
  <dimension ref="B3:J5"/>
  <sheetViews>
    <sheetView workbookViewId="0">
      <selection activeCell="D15" sqref="D15"/>
    </sheetView>
  </sheetViews>
  <sheetFormatPr defaultRowHeight="15" x14ac:dyDescent="0.25"/>
  <cols>
    <col min="2" max="2" width="11.85546875" customWidth="1"/>
    <col min="3" max="3" width="15.5703125" customWidth="1"/>
    <col min="4" max="4" width="13.85546875" customWidth="1"/>
    <col min="5" max="5" width="12.28515625" customWidth="1"/>
    <col min="8" max="8" width="18.42578125" customWidth="1"/>
    <col min="9" max="9" width="14.42578125" customWidth="1"/>
    <col min="10" max="10" width="13" customWidth="1"/>
  </cols>
  <sheetData>
    <row r="3" spans="2:10" x14ac:dyDescent="0.25">
      <c r="B3" s="4"/>
      <c r="C3" s="158" t="s">
        <v>61</v>
      </c>
      <c r="D3" s="158"/>
      <c r="E3" s="158"/>
      <c r="F3" s="158"/>
      <c r="G3" s="158" t="s">
        <v>62</v>
      </c>
      <c r="H3" s="158"/>
      <c r="I3" s="158"/>
      <c r="J3" s="158"/>
    </row>
    <row r="4" spans="2:10" x14ac:dyDescent="0.25">
      <c r="B4" s="8" t="s">
        <v>13</v>
      </c>
      <c r="C4" s="6">
        <v>1.1653880000000001</v>
      </c>
      <c r="D4" s="6">
        <v>1.2700020000000001</v>
      </c>
      <c r="E4" s="6">
        <v>0.85992400000000002</v>
      </c>
      <c r="F4" s="6">
        <v>0.70468600000000003</v>
      </c>
      <c r="G4" s="6">
        <v>2.8041429999999998</v>
      </c>
      <c r="H4" s="6">
        <v>1.8161499999999999</v>
      </c>
      <c r="I4" s="6">
        <v>2.6502189999999999</v>
      </c>
      <c r="J4" s="6">
        <v>1.5064839999999999</v>
      </c>
    </row>
    <row r="5" spans="2:10" x14ac:dyDescent="0.25">
      <c r="B5" s="9" t="s">
        <v>63</v>
      </c>
      <c r="C5" s="6">
        <v>4.0582050000000001</v>
      </c>
      <c r="D5" s="6">
        <v>2.4558599999999999</v>
      </c>
      <c r="E5" s="6">
        <v>2.1550859999999998</v>
      </c>
      <c r="F5" s="6">
        <v>2.0605829999999998</v>
      </c>
      <c r="G5" s="6">
        <v>1.960806</v>
      </c>
      <c r="H5" s="6">
        <v>1.471994</v>
      </c>
      <c r="I5" s="6">
        <v>2.3652440000000001</v>
      </c>
      <c r="J5" s="6">
        <v>3.7698010000000002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96E53-BB5D-4268-AB56-C53916B5A1B3}">
  <dimension ref="B4:R7"/>
  <sheetViews>
    <sheetView workbookViewId="0">
      <selection activeCell="G35" sqref="G35"/>
    </sheetView>
  </sheetViews>
  <sheetFormatPr defaultRowHeight="15" x14ac:dyDescent="0.25"/>
  <cols>
    <col min="6" max="6" width="12.5703125" customWidth="1"/>
    <col min="7" max="7" width="13.5703125" customWidth="1"/>
    <col min="8" max="8" width="13.42578125" customWidth="1"/>
    <col min="11" max="11" width="15.28515625" customWidth="1"/>
    <col min="15" max="15" width="12.7109375" customWidth="1"/>
    <col min="16" max="16" width="14.85546875" customWidth="1"/>
    <col min="17" max="17" width="13.42578125" customWidth="1"/>
    <col min="18" max="18" width="15.140625" customWidth="1"/>
  </cols>
  <sheetData>
    <row r="4" spans="2:18" x14ac:dyDescent="0.25">
      <c r="B4" s="4"/>
      <c r="C4" s="7" t="s">
        <v>18</v>
      </c>
      <c r="D4" s="7" t="s">
        <v>19</v>
      </c>
      <c r="E4" s="7" t="s">
        <v>20</v>
      </c>
      <c r="F4" s="7" t="s">
        <v>579</v>
      </c>
      <c r="G4" s="7" t="s">
        <v>580</v>
      </c>
      <c r="H4" s="7" t="s">
        <v>581</v>
      </c>
      <c r="K4" s="4"/>
      <c r="L4" s="7" t="s">
        <v>18</v>
      </c>
      <c r="M4" s="7" t="s">
        <v>19</v>
      </c>
      <c r="N4" s="7" t="s">
        <v>20</v>
      </c>
      <c r="O4" s="7" t="s">
        <v>579</v>
      </c>
      <c r="P4" s="7" t="s">
        <v>580</v>
      </c>
      <c r="Q4" s="7" t="s">
        <v>581</v>
      </c>
      <c r="R4" s="179" t="s">
        <v>6</v>
      </c>
    </row>
    <row r="5" spans="2:18" x14ac:dyDescent="0.25">
      <c r="B5" s="7" t="s">
        <v>24</v>
      </c>
      <c r="C5" s="4">
        <v>39098.146000000001</v>
      </c>
      <c r="D5" s="4">
        <v>44475.125</v>
      </c>
      <c r="E5" s="4">
        <v>44755.631000000001</v>
      </c>
      <c r="F5" s="4">
        <v>45675.267</v>
      </c>
      <c r="G5" s="4">
        <v>39239.853000000003</v>
      </c>
      <c r="H5" s="4">
        <v>41072.53</v>
      </c>
      <c r="K5" s="7" t="s">
        <v>24</v>
      </c>
      <c r="L5" s="4">
        <f>C5/$R$5</f>
        <v>0.91401419455766864</v>
      </c>
      <c r="M5" s="4">
        <f t="shared" ref="M5:Q5" si="0">D5/$R$5</f>
        <v>1.0397141479477474</v>
      </c>
      <c r="N5" s="4">
        <f t="shared" si="0"/>
        <v>1.0462716574945836</v>
      </c>
      <c r="O5" s="4">
        <f t="shared" si="0"/>
        <v>1.0677703842584112</v>
      </c>
      <c r="P5" s="4">
        <f t="shared" si="0"/>
        <v>0.91732694011517379</v>
      </c>
      <c r="Q5" s="4">
        <f t="shared" si="0"/>
        <v>0.96017021948804637</v>
      </c>
      <c r="R5" s="4">
        <f>AVERAGE(C5:E5)</f>
        <v>42776.30066666667</v>
      </c>
    </row>
    <row r="6" spans="2:18" x14ac:dyDescent="0.25">
      <c r="B6" s="7" t="s">
        <v>582</v>
      </c>
      <c r="C6" s="4">
        <v>66717.722999999998</v>
      </c>
      <c r="D6" s="4">
        <v>50935.409</v>
      </c>
      <c r="E6" s="4">
        <v>51156.966</v>
      </c>
      <c r="F6" s="4">
        <v>18822.288</v>
      </c>
      <c r="G6" s="4">
        <v>17190.973999999998</v>
      </c>
      <c r="H6" s="4">
        <v>16904.43</v>
      </c>
      <c r="K6" s="7" t="s">
        <v>582</v>
      </c>
      <c r="L6" s="4">
        <f>C6/$R$6</f>
        <v>1.1856705929997149</v>
      </c>
      <c r="M6" s="4">
        <f t="shared" ref="M6:Q6" si="1">D6/$R$6</f>
        <v>0.90519600906813047</v>
      </c>
      <c r="N6" s="4">
        <f t="shared" si="1"/>
        <v>0.90913339793215453</v>
      </c>
      <c r="O6" s="4">
        <f t="shared" si="1"/>
        <v>0.33449932598226439</v>
      </c>
      <c r="P6" s="4">
        <f t="shared" si="1"/>
        <v>0.30550851288528957</v>
      </c>
      <c r="Q6" s="4">
        <f t="shared" si="1"/>
        <v>0.30041621088330867</v>
      </c>
      <c r="R6" s="4">
        <f>AVERAGE(C6:E6)</f>
        <v>56270.032666666666</v>
      </c>
    </row>
    <row r="7" spans="2:18" x14ac:dyDescent="0.25">
      <c r="K7" s="7" t="s">
        <v>583</v>
      </c>
      <c r="L7" s="4">
        <f t="shared" ref="L7:Q7" si="2">L6/L5</f>
        <v>1.2972124503750324</v>
      </c>
      <c r="M7" s="4">
        <f t="shared" si="2"/>
        <v>0.87062007461845425</v>
      </c>
      <c r="N7" s="4">
        <f t="shared" si="2"/>
        <v>0.86892671842911029</v>
      </c>
      <c r="O7" s="4">
        <f t="shared" si="2"/>
        <v>0.31326896766722101</v>
      </c>
      <c r="P7" s="4">
        <f t="shared" si="2"/>
        <v>0.33304212437817626</v>
      </c>
      <c r="Q7" s="4">
        <f t="shared" si="2"/>
        <v>0.31287807597645312</v>
      </c>
      <c r="R7" s="4"/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903F-F983-44D7-A652-A61B7CB3CB45}">
  <dimension ref="B3:R30"/>
  <sheetViews>
    <sheetView workbookViewId="0">
      <selection activeCell="I36" sqref="I36"/>
    </sheetView>
  </sheetViews>
  <sheetFormatPr defaultRowHeight="15" x14ac:dyDescent="0.25"/>
  <cols>
    <col min="2" max="2" width="12.28515625" customWidth="1"/>
    <col min="3" max="3" width="13.28515625" customWidth="1"/>
    <col min="4" max="5" width="13.140625" customWidth="1"/>
    <col min="6" max="6" width="12.5703125" customWidth="1"/>
    <col min="7" max="7" width="17.5703125" customWidth="1"/>
    <col min="8" max="8" width="18.140625" customWidth="1"/>
    <col min="9" max="9" width="17.7109375" customWidth="1"/>
    <col min="10" max="10" width="12" customWidth="1"/>
    <col min="11" max="11" width="19.85546875" customWidth="1"/>
    <col min="12" max="13" width="12.5703125" bestFit="1" customWidth="1"/>
    <col min="14" max="14" width="12.42578125" customWidth="1"/>
    <col min="15" max="15" width="12.28515625" customWidth="1"/>
    <col min="16" max="16" width="13.85546875" customWidth="1"/>
    <col min="17" max="17" width="13.7109375" customWidth="1"/>
  </cols>
  <sheetData>
    <row r="3" spans="2:18" x14ac:dyDescent="0.25">
      <c r="B3" t="s">
        <v>31</v>
      </c>
    </row>
    <row r="4" spans="2:18" x14ac:dyDescent="0.25">
      <c r="B4" t="s">
        <v>32</v>
      </c>
    </row>
    <row r="5" spans="2:18" x14ac:dyDescent="0.25">
      <c r="B5" t="s">
        <v>33</v>
      </c>
    </row>
    <row r="6" spans="2:18" x14ac:dyDescent="0.25">
      <c r="B6" t="s">
        <v>64</v>
      </c>
    </row>
    <row r="7" spans="2:18" x14ac:dyDescent="0.25">
      <c r="B7" t="s">
        <v>65</v>
      </c>
    </row>
    <row r="8" spans="2:18" x14ac:dyDescent="0.25">
      <c r="B8" t="s">
        <v>36</v>
      </c>
      <c r="C8" s="29"/>
      <c r="D8" s="29" t="s">
        <v>37</v>
      </c>
    </row>
    <row r="10" spans="2:18" x14ac:dyDescent="0.25">
      <c r="C10" s="11">
        <v>1</v>
      </c>
      <c r="D10" s="11">
        <v>2</v>
      </c>
      <c r="E10" s="11">
        <v>3</v>
      </c>
      <c r="F10" s="11">
        <v>4</v>
      </c>
      <c r="G10" s="11">
        <v>5</v>
      </c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11">
        <v>11</v>
      </c>
      <c r="N10" s="11">
        <v>12</v>
      </c>
    </row>
    <row r="11" spans="2:18" x14ac:dyDescent="0.25">
      <c r="B11" s="11" t="s">
        <v>38</v>
      </c>
      <c r="C11" s="12">
        <v>8395546</v>
      </c>
      <c r="D11" s="13">
        <v>8448755</v>
      </c>
      <c r="E11" s="42">
        <v>3800032</v>
      </c>
      <c r="F11" s="42">
        <v>3869828</v>
      </c>
      <c r="G11" s="42">
        <v>7116605</v>
      </c>
      <c r="H11" s="42">
        <v>7241521</v>
      </c>
      <c r="I11" s="34"/>
      <c r="J11" s="34"/>
      <c r="K11" s="34"/>
      <c r="L11" s="34"/>
      <c r="M11" s="34"/>
      <c r="N11" s="36"/>
      <c r="P11" s="11" t="s">
        <v>39</v>
      </c>
    </row>
    <row r="12" spans="2:18" x14ac:dyDescent="0.25">
      <c r="B12" s="11" t="s">
        <v>40</v>
      </c>
      <c r="C12" s="15">
        <v>7885476</v>
      </c>
      <c r="D12" s="16">
        <v>7795548</v>
      </c>
      <c r="E12" s="40">
        <v>4976091</v>
      </c>
      <c r="F12" s="40">
        <v>5078649</v>
      </c>
      <c r="G12" s="40">
        <v>7326477</v>
      </c>
      <c r="H12" s="40">
        <v>7475981</v>
      </c>
      <c r="N12" s="37"/>
      <c r="P12" s="11">
        <v>4</v>
      </c>
      <c r="Q12">
        <f t="shared" ref="Q12:Q17" si="0">AVERAGE(C11:D11)/1000</f>
        <v>8422.1504999999997</v>
      </c>
      <c r="R12">
        <f t="shared" ref="R12:R17" si="1">Q12-$Q$17</f>
        <v>8325.5324999999993</v>
      </c>
    </row>
    <row r="13" spans="2:18" x14ac:dyDescent="0.25">
      <c r="B13" s="11" t="s">
        <v>41</v>
      </c>
      <c r="C13" s="15">
        <v>5498854</v>
      </c>
      <c r="D13" s="16">
        <v>5555417</v>
      </c>
      <c r="E13" s="40">
        <v>4691155</v>
      </c>
      <c r="F13" s="40">
        <v>4774453</v>
      </c>
      <c r="G13" s="40">
        <v>6595530</v>
      </c>
      <c r="H13" s="40">
        <v>6715328</v>
      </c>
      <c r="N13" s="37"/>
      <c r="P13" s="11">
        <v>3.2</v>
      </c>
      <c r="Q13">
        <f t="shared" si="0"/>
        <v>7840.5119999999997</v>
      </c>
      <c r="R13">
        <f t="shared" si="1"/>
        <v>7743.8939999999993</v>
      </c>
    </row>
    <row r="14" spans="2:18" x14ac:dyDescent="0.25">
      <c r="B14" s="11" t="s">
        <v>42</v>
      </c>
      <c r="C14" s="15">
        <v>3979985</v>
      </c>
      <c r="D14" s="16">
        <v>3961445</v>
      </c>
      <c r="E14" s="40">
        <v>6574449</v>
      </c>
      <c r="F14" s="40">
        <v>6700561</v>
      </c>
      <c r="G14" s="40">
        <v>6369611</v>
      </c>
      <c r="H14" s="40">
        <v>6495693</v>
      </c>
      <c r="N14" s="37"/>
      <c r="P14" s="11">
        <v>2.4</v>
      </c>
      <c r="Q14">
        <f t="shared" si="0"/>
        <v>5527.1355000000003</v>
      </c>
      <c r="R14">
        <f t="shared" si="1"/>
        <v>5430.5174999999999</v>
      </c>
    </row>
    <row r="15" spans="2:18" x14ac:dyDescent="0.25">
      <c r="B15" s="11" t="s">
        <v>43</v>
      </c>
      <c r="C15" s="15">
        <v>2458741</v>
      </c>
      <c r="D15" s="16">
        <v>2556412</v>
      </c>
      <c r="E15" s="40">
        <v>5155453</v>
      </c>
      <c r="F15">
        <v>5259604</v>
      </c>
      <c r="G15" s="40">
        <v>5008980</v>
      </c>
      <c r="H15" s="40">
        <v>5095882</v>
      </c>
      <c r="N15" s="37"/>
      <c r="P15" s="11">
        <v>1.6</v>
      </c>
      <c r="Q15">
        <f t="shared" si="0"/>
        <v>3970.7150000000001</v>
      </c>
      <c r="R15">
        <f t="shared" si="1"/>
        <v>3874.0970000000002</v>
      </c>
    </row>
    <row r="16" spans="2:18" x14ac:dyDescent="0.25">
      <c r="B16" s="11" t="s">
        <v>44</v>
      </c>
      <c r="C16" s="15">
        <v>97255</v>
      </c>
      <c r="D16" s="16">
        <v>95981</v>
      </c>
      <c r="N16" s="37"/>
      <c r="P16" s="11">
        <v>0.8</v>
      </c>
      <c r="Q16">
        <f t="shared" si="0"/>
        <v>2507.5765000000001</v>
      </c>
      <c r="R16">
        <f t="shared" si="1"/>
        <v>2410.9585000000002</v>
      </c>
    </row>
    <row r="17" spans="2:18" x14ac:dyDescent="0.25">
      <c r="B17" s="11" t="s">
        <v>45</v>
      </c>
      <c r="C17" s="15"/>
      <c r="D17" s="16"/>
      <c r="E17" s="16"/>
      <c r="F17" s="16"/>
      <c r="H17" s="16"/>
      <c r="J17" s="16"/>
      <c r="L17" s="16"/>
      <c r="M17" s="16"/>
      <c r="N17" s="17"/>
      <c r="P17" s="11">
        <v>0</v>
      </c>
      <c r="Q17">
        <f t="shared" si="0"/>
        <v>96.617999999999995</v>
      </c>
      <c r="R17">
        <f t="shared" si="1"/>
        <v>0</v>
      </c>
    </row>
    <row r="18" spans="2:18" x14ac:dyDescent="0.25">
      <c r="B18" s="11" t="s">
        <v>46</v>
      </c>
      <c r="C18" s="18"/>
      <c r="D18" s="19"/>
      <c r="E18" s="19"/>
      <c r="F18" s="19"/>
      <c r="G18" s="19"/>
      <c r="H18" s="19"/>
      <c r="I18" s="19"/>
      <c r="J18" s="19"/>
      <c r="K18" s="38"/>
      <c r="L18" s="19"/>
      <c r="M18" s="19"/>
      <c r="N18" s="20"/>
    </row>
    <row r="20" spans="2:18" x14ac:dyDescent="0.25">
      <c r="E20" s="11" t="s">
        <v>47</v>
      </c>
      <c r="F20" s="11" t="s">
        <v>48</v>
      </c>
      <c r="G20" s="1" t="s">
        <v>39</v>
      </c>
      <c r="H20" s="1" t="s">
        <v>49</v>
      </c>
      <c r="I20" s="1" t="s">
        <v>50</v>
      </c>
      <c r="J20" s="1" t="s">
        <v>6</v>
      </c>
      <c r="K20" s="1" t="s">
        <v>66</v>
      </c>
    </row>
    <row r="21" spans="2:18" x14ac:dyDescent="0.25">
      <c r="C21" s="159" t="s">
        <v>13</v>
      </c>
      <c r="D21" s="11">
        <v>1</v>
      </c>
      <c r="E21">
        <f>AVERAGE(E11:F11)/1000</f>
        <v>3834.93</v>
      </c>
      <c r="F21">
        <f>E21-$Q$17</f>
        <v>3738.3119999999999</v>
      </c>
      <c r="G21">
        <f>(F21-190.42)/2313.4</f>
        <v>1.5336266966369845</v>
      </c>
      <c r="H21" s="3">
        <v>444</v>
      </c>
      <c r="I21">
        <f>G21/H21</f>
        <v>3.4541141816148298E-3</v>
      </c>
      <c r="J21">
        <f>AVERAGE(I21:I25)</f>
        <v>4.1240054346176665E-3</v>
      </c>
      <c r="K21" s="39">
        <f t="shared" ref="K21:K30" si="2">I21/$J$21</f>
        <v>0.83756295581483831</v>
      </c>
    </row>
    <row r="22" spans="2:18" x14ac:dyDescent="0.25">
      <c r="C22" s="159"/>
      <c r="D22" s="11">
        <v>2</v>
      </c>
      <c r="E22">
        <f t="shared" ref="E22:E24" si="3">AVERAGE(E12:F12)/1000</f>
        <v>5027.37</v>
      </c>
      <c r="F22">
        <f t="shared" ref="F22:F30" si="4">E22-$Q$17</f>
        <v>4930.7519999999995</v>
      </c>
      <c r="G22">
        <f t="shared" ref="G22:G30" si="5">(F22-190.42)/2313.4</f>
        <v>2.0490758191406586</v>
      </c>
      <c r="H22" s="3">
        <v>421</v>
      </c>
      <c r="I22">
        <f t="shared" ref="I22:I30" si="6">G22/H22</f>
        <v>4.8671634658923012E-3</v>
      </c>
      <c r="K22" s="39">
        <f t="shared" si="2"/>
        <v>1.1802029708875814</v>
      </c>
    </row>
    <row r="23" spans="2:18" x14ac:dyDescent="0.25">
      <c r="C23" s="159"/>
      <c r="D23" s="11">
        <v>3</v>
      </c>
      <c r="E23">
        <f t="shared" si="3"/>
        <v>4732.8040000000001</v>
      </c>
      <c r="F23">
        <f t="shared" si="4"/>
        <v>4636.1859999999997</v>
      </c>
      <c r="G23">
        <f t="shared" si="5"/>
        <v>1.921745482839111</v>
      </c>
      <c r="H23" s="3">
        <v>510</v>
      </c>
      <c r="I23">
        <f t="shared" si="6"/>
        <v>3.7681283977237471E-3</v>
      </c>
      <c r="K23" s="39">
        <f t="shared" si="2"/>
        <v>0.91370597286157251</v>
      </c>
    </row>
    <row r="24" spans="2:18" x14ac:dyDescent="0.25">
      <c r="C24" s="159"/>
      <c r="D24" s="11">
        <v>4</v>
      </c>
      <c r="E24">
        <f t="shared" si="3"/>
        <v>6637.5050000000001</v>
      </c>
      <c r="F24">
        <f t="shared" si="4"/>
        <v>6540.8869999999997</v>
      </c>
      <c r="G24">
        <f t="shared" si="5"/>
        <v>2.7450795366127774</v>
      </c>
      <c r="H24" s="3">
        <v>558</v>
      </c>
      <c r="I24">
        <f t="shared" si="6"/>
        <v>4.9194973774422538E-3</v>
      </c>
      <c r="K24" s="39">
        <f t="shared" si="2"/>
        <v>1.1928930394094732</v>
      </c>
    </row>
    <row r="25" spans="2:18" x14ac:dyDescent="0.25">
      <c r="C25" s="159"/>
      <c r="D25" s="11">
        <v>5</v>
      </c>
      <c r="E25">
        <f>AVERAGE(E15:F15)/1000</f>
        <v>5207.5285000000003</v>
      </c>
      <c r="F25">
        <f t="shared" si="4"/>
        <v>5110.9105</v>
      </c>
      <c r="G25">
        <f t="shared" si="5"/>
        <v>2.1269518889945531</v>
      </c>
      <c r="H25" s="3">
        <v>589</v>
      </c>
      <c r="I25">
        <f t="shared" si="6"/>
        <v>3.6111237504152004E-3</v>
      </c>
      <c r="K25" s="39">
        <f t="shared" si="2"/>
        <v>0.87563506102653454</v>
      </c>
    </row>
    <row r="26" spans="2:18" x14ac:dyDescent="0.25">
      <c r="C26" s="159" t="s">
        <v>67</v>
      </c>
      <c r="D26" s="11">
        <v>1</v>
      </c>
      <c r="E26">
        <f>AVERAGE(G11:H11)/1000</f>
        <v>7179.0630000000001</v>
      </c>
      <c r="F26">
        <f t="shared" si="4"/>
        <v>7082.4449999999997</v>
      </c>
      <c r="G26">
        <f t="shared" si="5"/>
        <v>2.9791756721708307</v>
      </c>
      <c r="H26" s="3">
        <v>495</v>
      </c>
      <c r="I26">
        <f t="shared" si="6"/>
        <v>6.0185367114562235E-3</v>
      </c>
      <c r="K26" s="39">
        <f t="shared" si="2"/>
        <v>1.4593910718292247</v>
      </c>
    </row>
    <row r="27" spans="2:18" x14ac:dyDescent="0.25">
      <c r="C27" s="159"/>
      <c r="D27" s="11">
        <v>2</v>
      </c>
      <c r="E27">
        <f t="shared" ref="E27:E30" si="7">AVERAGE(G12:H12)/1000</f>
        <v>7401.2290000000003</v>
      </c>
      <c r="F27">
        <f t="shared" si="4"/>
        <v>7304.6109999999999</v>
      </c>
      <c r="G27">
        <f t="shared" si="5"/>
        <v>3.0752100804011411</v>
      </c>
      <c r="H27" s="3">
        <v>520</v>
      </c>
      <c r="I27">
        <f t="shared" si="6"/>
        <v>5.9138655392329638E-3</v>
      </c>
      <c r="K27" s="39">
        <f t="shared" si="2"/>
        <v>1.434010122680945</v>
      </c>
    </row>
    <row r="28" spans="2:18" x14ac:dyDescent="0.25">
      <c r="C28" s="159"/>
      <c r="D28" s="11">
        <v>3</v>
      </c>
      <c r="E28">
        <f t="shared" si="7"/>
        <v>6655.4290000000001</v>
      </c>
      <c r="F28">
        <f t="shared" si="4"/>
        <v>6558.8109999999997</v>
      </c>
      <c r="G28">
        <f t="shared" si="5"/>
        <v>2.7528274401314081</v>
      </c>
      <c r="H28" s="3">
        <v>526</v>
      </c>
      <c r="I28">
        <f t="shared" si="6"/>
        <v>5.2335122435958328E-3</v>
      </c>
      <c r="K28" s="39">
        <f t="shared" si="2"/>
        <v>1.2690362140807965</v>
      </c>
    </row>
    <row r="29" spans="2:18" x14ac:dyDescent="0.25">
      <c r="C29" s="159"/>
      <c r="D29" s="11">
        <v>4</v>
      </c>
      <c r="E29">
        <f t="shared" si="7"/>
        <v>6432.652</v>
      </c>
      <c r="F29">
        <f t="shared" si="4"/>
        <v>6336.0339999999997</v>
      </c>
      <c r="G29">
        <f t="shared" si="5"/>
        <v>2.6565289184749714</v>
      </c>
      <c r="H29" s="3">
        <v>540</v>
      </c>
      <c r="I29">
        <f t="shared" si="6"/>
        <v>4.9194979971758732E-3</v>
      </c>
      <c r="K29" s="39">
        <f t="shared" si="2"/>
        <v>1.1928931896841586</v>
      </c>
    </row>
    <row r="30" spans="2:18" x14ac:dyDescent="0.25">
      <c r="C30" s="159"/>
      <c r="D30" s="11">
        <v>5</v>
      </c>
      <c r="E30">
        <f t="shared" si="7"/>
        <v>5052.4309999999996</v>
      </c>
      <c r="F30">
        <f t="shared" si="4"/>
        <v>4955.8129999999992</v>
      </c>
      <c r="G30">
        <f t="shared" si="5"/>
        <v>2.0599087922538253</v>
      </c>
      <c r="H30" s="3">
        <v>492</v>
      </c>
      <c r="I30">
        <f t="shared" si="6"/>
        <v>4.1868064883207835E-3</v>
      </c>
      <c r="K30" s="39">
        <f t="shared" si="2"/>
        <v>1.0152281694820169</v>
      </c>
    </row>
  </sheetData>
  <mergeCells count="2">
    <mergeCell ref="C21:C25"/>
    <mergeCell ref="C26:C3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ED264-D9C0-4BEA-8E76-0D9967513801}">
  <dimension ref="B3:M13"/>
  <sheetViews>
    <sheetView workbookViewId="0">
      <selection activeCell="C33" sqref="C33"/>
    </sheetView>
  </sheetViews>
  <sheetFormatPr defaultRowHeight="15" x14ac:dyDescent="0.25"/>
  <cols>
    <col min="2" max="2" width="11.85546875" customWidth="1"/>
    <col min="3" max="3" width="15.5703125" customWidth="1"/>
    <col min="4" max="4" width="13.85546875" customWidth="1"/>
    <col min="5" max="5" width="12.28515625" customWidth="1"/>
    <col min="8" max="8" width="18.42578125" customWidth="1"/>
    <col min="9" max="9" width="14.42578125" customWidth="1"/>
    <col min="10" max="10" width="13" customWidth="1"/>
    <col min="13" max="13" width="16.5703125" customWidth="1"/>
  </cols>
  <sheetData>
    <row r="3" spans="2:13" x14ac:dyDescent="0.25">
      <c r="B3" s="43"/>
      <c r="C3" s="43"/>
      <c r="D3" s="43"/>
      <c r="E3" s="44"/>
      <c r="F3" s="44"/>
      <c r="G3" s="44"/>
      <c r="H3" s="44"/>
      <c r="I3" s="45" t="s">
        <v>68</v>
      </c>
      <c r="J3" s="45" t="s">
        <v>69</v>
      </c>
      <c r="K3" s="43"/>
      <c r="L3" s="43"/>
      <c r="M3" s="43"/>
    </row>
    <row r="4" spans="2:13" x14ac:dyDescent="0.25">
      <c r="B4" s="46" t="s">
        <v>70</v>
      </c>
      <c r="C4" s="47" t="s">
        <v>71</v>
      </c>
      <c r="D4" s="48" t="s">
        <v>72</v>
      </c>
      <c r="E4" s="48" t="s">
        <v>73</v>
      </c>
      <c r="F4" s="48" t="s">
        <v>74</v>
      </c>
      <c r="G4" s="47" t="s">
        <v>75</v>
      </c>
      <c r="H4" s="47" t="s">
        <v>76</v>
      </c>
      <c r="I4" s="49" t="s">
        <v>77</v>
      </c>
      <c r="J4" s="73" t="s">
        <v>78</v>
      </c>
      <c r="K4" s="74" t="s">
        <v>79</v>
      </c>
      <c r="L4" s="74" t="s">
        <v>6</v>
      </c>
      <c r="M4" s="74" t="s">
        <v>80</v>
      </c>
    </row>
    <row r="5" spans="2:13" x14ac:dyDescent="0.25">
      <c r="B5" s="50" t="s">
        <v>81</v>
      </c>
      <c r="C5" s="51">
        <v>1</v>
      </c>
      <c r="D5" s="52">
        <v>45433</v>
      </c>
      <c r="E5" s="53" t="s">
        <v>82</v>
      </c>
      <c r="F5" s="53" t="s">
        <v>83</v>
      </c>
      <c r="G5" s="54" t="s">
        <v>84</v>
      </c>
      <c r="H5" s="55" t="s">
        <v>85</v>
      </c>
      <c r="I5" s="56">
        <v>1.7665621645520224</v>
      </c>
      <c r="J5" s="75">
        <v>2.1284999999999998</v>
      </c>
      <c r="K5" s="76">
        <f t="shared" ref="K5:K13" si="0">J5/I5</f>
        <v>1.2048825921389301</v>
      </c>
      <c r="L5" s="76">
        <f>AVERAGE(K5:K7)</f>
        <v>1.5703359449147134</v>
      </c>
      <c r="M5" s="79">
        <f>K5/$L$5</f>
        <v>0.76727696136661294</v>
      </c>
    </row>
    <row r="6" spans="2:13" x14ac:dyDescent="0.25">
      <c r="B6" s="57" t="s">
        <v>86</v>
      </c>
      <c r="C6" s="58">
        <v>2</v>
      </c>
      <c r="D6" s="59">
        <v>45433</v>
      </c>
      <c r="E6" s="60" t="s">
        <v>82</v>
      </c>
      <c r="F6" s="60" t="s">
        <v>83</v>
      </c>
      <c r="G6" s="61" t="s">
        <v>84</v>
      </c>
      <c r="H6" s="62" t="s">
        <v>85</v>
      </c>
      <c r="I6" s="63">
        <v>1.9843983774106335</v>
      </c>
      <c r="J6" s="75">
        <v>3.6259999999999999</v>
      </c>
      <c r="K6" s="76">
        <f t="shared" si="0"/>
        <v>1.8272540641418134</v>
      </c>
      <c r="L6" s="77"/>
      <c r="M6" s="79">
        <f t="shared" ref="M6:M13" si="1">K6/$L$5</f>
        <v>1.1636071058929072</v>
      </c>
    </row>
    <row r="7" spans="2:13" x14ac:dyDescent="0.25">
      <c r="B7" s="64" t="s">
        <v>87</v>
      </c>
      <c r="C7" s="65">
        <v>3</v>
      </c>
      <c r="D7" s="66">
        <v>45433</v>
      </c>
      <c r="E7" s="67" t="s">
        <v>82</v>
      </c>
      <c r="F7" s="67" t="s">
        <v>83</v>
      </c>
      <c r="G7" s="68" t="s">
        <v>84</v>
      </c>
      <c r="H7" s="69" t="s">
        <v>85</v>
      </c>
      <c r="I7" s="70">
        <v>1.9694780888586738</v>
      </c>
      <c r="J7" s="75">
        <v>3.3064999999999998</v>
      </c>
      <c r="K7" s="76">
        <f t="shared" si="0"/>
        <v>1.6788711784633965</v>
      </c>
      <c r="L7" s="77"/>
      <c r="M7" s="79">
        <f t="shared" si="1"/>
        <v>1.0691159327404798</v>
      </c>
    </row>
    <row r="8" spans="2:13" x14ac:dyDescent="0.25">
      <c r="B8" s="57" t="s">
        <v>88</v>
      </c>
      <c r="C8" s="58">
        <v>4</v>
      </c>
      <c r="D8" s="59">
        <v>45433</v>
      </c>
      <c r="E8" s="60" t="s">
        <v>82</v>
      </c>
      <c r="F8" s="60" t="s">
        <v>83</v>
      </c>
      <c r="G8" s="61" t="s">
        <v>84</v>
      </c>
      <c r="H8" s="62" t="s">
        <v>89</v>
      </c>
      <c r="I8" s="71">
        <v>1.9485896848859305</v>
      </c>
      <c r="J8" s="78">
        <v>5.298</v>
      </c>
      <c r="K8" s="76">
        <f t="shared" si="0"/>
        <v>2.7188894825285614</v>
      </c>
      <c r="L8" s="76"/>
      <c r="M8" s="79">
        <f t="shared" si="1"/>
        <v>1.7314062582170768</v>
      </c>
    </row>
    <row r="9" spans="2:13" x14ac:dyDescent="0.25">
      <c r="B9" s="57" t="s">
        <v>90</v>
      </c>
      <c r="C9" s="58">
        <v>5</v>
      </c>
      <c r="D9" s="59">
        <v>45433</v>
      </c>
      <c r="E9" s="60" t="s">
        <v>82</v>
      </c>
      <c r="F9" s="60" t="s">
        <v>83</v>
      </c>
      <c r="G9" s="61" t="s">
        <v>84</v>
      </c>
      <c r="H9" s="62" t="s">
        <v>89</v>
      </c>
      <c r="I9" s="71">
        <v>1.9277012809131868</v>
      </c>
      <c r="J9" s="78">
        <v>3.984</v>
      </c>
      <c r="K9" s="76">
        <f t="shared" si="0"/>
        <v>2.0667102519705272</v>
      </c>
      <c r="L9" s="77"/>
      <c r="M9" s="79">
        <f t="shared" si="1"/>
        <v>1.3160943418911375</v>
      </c>
    </row>
    <row r="10" spans="2:13" x14ac:dyDescent="0.25">
      <c r="B10" s="64" t="s">
        <v>91</v>
      </c>
      <c r="C10" s="65">
        <v>6</v>
      </c>
      <c r="D10" s="66">
        <v>45433</v>
      </c>
      <c r="E10" s="67" t="s">
        <v>82</v>
      </c>
      <c r="F10" s="67" t="s">
        <v>83</v>
      </c>
      <c r="G10" s="68" t="s">
        <v>84</v>
      </c>
      <c r="H10" s="69" t="s">
        <v>89</v>
      </c>
      <c r="I10" s="70">
        <v>1.8889085306780917</v>
      </c>
      <c r="J10" s="75">
        <v>4.6370000000000005</v>
      </c>
      <c r="K10" s="76">
        <f t="shared" si="0"/>
        <v>2.4548568258810195</v>
      </c>
      <c r="L10" s="77"/>
      <c r="M10" s="79">
        <f t="shared" si="1"/>
        <v>1.5632685692705999</v>
      </c>
    </row>
    <row r="11" spans="2:13" x14ac:dyDescent="0.25">
      <c r="B11" s="57" t="s">
        <v>92</v>
      </c>
      <c r="C11" s="58">
        <v>7</v>
      </c>
      <c r="D11" s="59">
        <v>45433</v>
      </c>
      <c r="E11" s="60" t="s">
        <v>82</v>
      </c>
      <c r="F11" s="60" t="s">
        <v>83</v>
      </c>
      <c r="G11" s="61" t="s">
        <v>84</v>
      </c>
      <c r="H11" s="62" t="s">
        <v>93</v>
      </c>
      <c r="I11" s="63">
        <v>1.9903664928314171</v>
      </c>
      <c r="J11" s="75">
        <v>4.1290000000000004</v>
      </c>
      <c r="K11" s="76">
        <f t="shared" si="0"/>
        <v>2.0744923183098041</v>
      </c>
      <c r="L11" s="76"/>
      <c r="M11" s="79">
        <f t="shared" si="1"/>
        <v>1.3210500116409625</v>
      </c>
    </row>
    <row r="12" spans="2:13" x14ac:dyDescent="0.25">
      <c r="B12" s="57" t="s">
        <v>94</v>
      </c>
      <c r="C12" s="58">
        <v>8</v>
      </c>
      <c r="D12" s="59">
        <v>45433</v>
      </c>
      <c r="E12" s="60" t="s">
        <v>82</v>
      </c>
      <c r="F12" s="60" t="s">
        <v>83</v>
      </c>
      <c r="G12" s="61" t="s">
        <v>84</v>
      </c>
      <c r="H12" s="62" t="s">
        <v>93</v>
      </c>
      <c r="I12" s="71">
        <v>2.3156287832641378</v>
      </c>
      <c r="J12" s="78">
        <v>3.7925</v>
      </c>
      <c r="K12" s="76">
        <f t="shared" si="0"/>
        <v>1.6377840988200394</v>
      </c>
      <c r="L12" s="77"/>
      <c r="M12" s="79">
        <f t="shared" si="1"/>
        <v>1.0429514169396341</v>
      </c>
    </row>
    <row r="13" spans="2:13" x14ac:dyDescent="0.25">
      <c r="B13" s="64" t="s">
        <v>95</v>
      </c>
      <c r="C13" s="64">
        <v>9</v>
      </c>
      <c r="D13" s="66">
        <v>45433</v>
      </c>
      <c r="E13" s="67" t="s">
        <v>82</v>
      </c>
      <c r="F13" s="67" t="s">
        <v>83</v>
      </c>
      <c r="G13" s="68" t="s">
        <v>84</v>
      </c>
      <c r="H13" s="69" t="s">
        <v>93</v>
      </c>
      <c r="I13" s="72">
        <v>2.0828722818535672</v>
      </c>
      <c r="J13" s="78">
        <v>4.8074999999999992</v>
      </c>
      <c r="K13" s="76">
        <f t="shared" si="0"/>
        <v>2.3081107957909741</v>
      </c>
      <c r="L13" s="77"/>
      <c r="M13" s="79">
        <f t="shared" si="1"/>
        <v>1.4698197562537041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0A180-814C-488C-BE3E-3E0E08599CF8}">
  <dimension ref="A4:J8"/>
  <sheetViews>
    <sheetView workbookViewId="0">
      <selection activeCell="K27" sqref="K27"/>
    </sheetView>
  </sheetViews>
  <sheetFormatPr defaultRowHeight="15" x14ac:dyDescent="0.25"/>
  <cols>
    <col min="2" max="2" width="11.85546875" customWidth="1"/>
    <col min="3" max="3" width="15.5703125" customWidth="1"/>
    <col min="4" max="4" width="13.85546875" customWidth="1"/>
    <col min="5" max="5" width="12.28515625" customWidth="1"/>
    <col min="8" max="8" width="18.42578125" customWidth="1"/>
    <col min="9" max="9" width="14.42578125" customWidth="1"/>
    <col min="10" max="10" width="13" customWidth="1"/>
  </cols>
  <sheetData>
    <row r="4" spans="1:10" x14ac:dyDescent="0.25">
      <c r="B4" s="5" t="s">
        <v>16</v>
      </c>
      <c r="C4" s="5" t="s">
        <v>11</v>
      </c>
      <c r="D4" s="5" t="s">
        <v>96</v>
      </c>
      <c r="E4" s="5" t="s">
        <v>97</v>
      </c>
      <c r="G4" s="5" t="s">
        <v>16</v>
      </c>
      <c r="H4" s="5" t="s">
        <v>11</v>
      </c>
      <c r="I4" s="5" t="s">
        <v>96</v>
      </c>
      <c r="J4" s="5" t="s">
        <v>97</v>
      </c>
    </row>
    <row r="5" spans="1:10" x14ac:dyDescent="0.25">
      <c r="B5" s="4">
        <v>21908.451517241381</v>
      </c>
      <c r="C5" s="4">
        <v>34030.386620689656</v>
      </c>
      <c r="D5" s="4">
        <v>77768.396987627581</v>
      </c>
      <c r="E5" s="4">
        <v>87633.806068965525</v>
      </c>
      <c r="G5" s="4">
        <f>B5/$B$8</f>
        <v>0.9850000000000001</v>
      </c>
      <c r="H5" s="4">
        <f t="shared" ref="H5:J6" si="0">C5/$B$8</f>
        <v>1.53</v>
      </c>
      <c r="I5" s="4">
        <f t="shared" si="0"/>
        <v>3.4964529999999998</v>
      </c>
      <c r="J5" s="4">
        <f t="shared" si="0"/>
        <v>3.9400000000000004</v>
      </c>
    </row>
    <row r="6" spans="1:10" x14ac:dyDescent="0.25">
      <c r="B6" s="4">
        <v>22575.714</v>
      </c>
      <c r="C6" s="4">
        <v>34294.933953020693</v>
      </c>
      <c r="D6" s="4">
        <v>83163.147434482758</v>
      </c>
      <c r="E6" s="4">
        <v>93416.747586206911</v>
      </c>
      <c r="G6" s="4">
        <f>B6/$B$8</f>
        <v>1.0149999999999999</v>
      </c>
      <c r="H6" s="4">
        <f t="shared" si="0"/>
        <v>1.5418940000000001</v>
      </c>
      <c r="I6" s="4">
        <f t="shared" si="0"/>
        <v>3.7389999999999999</v>
      </c>
      <c r="J6" s="4">
        <f t="shared" si="0"/>
        <v>4.2</v>
      </c>
    </row>
    <row r="8" spans="1:10" x14ac:dyDescent="0.25">
      <c r="A8" s="1" t="s">
        <v>6</v>
      </c>
      <c r="B8">
        <f>AVERAGE(B5:B7)</f>
        <v>22242.082758620691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1F5AC-3E4B-4269-AF7C-F1F8093B4837}">
  <dimension ref="B3:AD6"/>
  <sheetViews>
    <sheetView workbookViewId="0">
      <selection activeCell="O32" sqref="O32"/>
    </sheetView>
  </sheetViews>
  <sheetFormatPr defaultRowHeight="15" x14ac:dyDescent="0.25"/>
  <cols>
    <col min="2" max="2" width="11.7109375" customWidth="1"/>
  </cols>
  <sheetData>
    <row r="3" spans="2:30" x14ac:dyDescent="0.25">
      <c r="B3" s="5"/>
      <c r="C3" s="158" t="s">
        <v>16</v>
      </c>
      <c r="D3" s="158"/>
      <c r="E3" s="158"/>
      <c r="F3" s="158"/>
      <c r="G3" s="158"/>
      <c r="H3" s="158"/>
      <c r="I3" s="158"/>
      <c r="J3" s="158" t="s">
        <v>17</v>
      </c>
      <c r="K3" s="158"/>
      <c r="L3" s="158"/>
      <c r="M3" s="158"/>
      <c r="N3" s="158"/>
      <c r="O3" s="158"/>
      <c r="P3" s="158"/>
      <c r="Q3" s="158" t="s">
        <v>462</v>
      </c>
      <c r="R3" s="158"/>
      <c r="S3" s="158"/>
      <c r="T3" s="158"/>
      <c r="U3" s="158"/>
      <c r="V3" s="158"/>
      <c r="W3" s="158"/>
      <c r="X3" s="158" t="s">
        <v>93</v>
      </c>
      <c r="Y3" s="158"/>
      <c r="Z3" s="158"/>
      <c r="AA3" s="158"/>
      <c r="AB3" s="158"/>
      <c r="AC3" s="158"/>
      <c r="AD3" s="158"/>
    </row>
    <row r="4" spans="2:30" x14ac:dyDescent="0.25">
      <c r="B4" s="8" t="s">
        <v>13</v>
      </c>
      <c r="C4" s="4">
        <v>1.0093512138467684</v>
      </c>
      <c r="D4" s="4">
        <v>0.8135748657043459</v>
      </c>
      <c r="E4" s="4">
        <v>0.8932435792447323</v>
      </c>
      <c r="F4" s="4">
        <v>1.2838303412041536</v>
      </c>
      <c r="G4" s="4"/>
      <c r="H4" s="4"/>
      <c r="I4" s="4"/>
      <c r="J4" s="4">
        <v>2.207932250013005</v>
      </c>
      <c r="K4" s="4">
        <v>2.3486533674551384</v>
      </c>
      <c r="L4" s="4">
        <v>2.7369277158023602</v>
      </c>
      <c r="M4" s="4">
        <v>1.6304619759915173</v>
      </c>
      <c r="N4" s="4">
        <v>1.3706706437034464</v>
      </c>
      <c r="O4" s="4">
        <v>2.9962320287288575</v>
      </c>
      <c r="P4" s="4">
        <v>3.5770398834767581</v>
      </c>
      <c r="Q4" s="4">
        <v>1.8554000317942507</v>
      </c>
      <c r="R4" s="4">
        <v>2.355643583149106</v>
      </c>
      <c r="S4" s="4">
        <v>2.6813914470111988</v>
      </c>
      <c r="T4" s="4">
        <v>2.6925741144944757</v>
      </c>
      <c r="U4" s="4">
        <v>1.8799015970730921</v>
      </c>
      <c r="V4" s="4"/>
      <c r="W4" s="4"/>
      <c r="X4" s="4">
        <v>2.295201038708206</v>
      </c>
      <c r="Y4" s="4">
        <v>2.1990924370364469</v>
      </c>
      <c r="Z4" s="4">
        <v>2.8064609424811287</v>
      </c>
      <c r="AA4" s="4">
        <v>2.7259734032296397</v>
      </c>
      <c r="AB4" s="153"/>
      <c r="AC4" s="4"/>
      <c r="AD4" s="4"/>
    </row>
    <row r="5" spans="2:30" x14ac:dyDescent="0.25">
      <c r="B5" s="9" t="s">
        <v>99</v>
      </c>
      <c r="C5" s="4">
        <v>0.633269756705366</v>
      </c>
      <c r="D5" s="4">
        <v>1.3525750994978138</v>
      </c>
      <c r="E5" s="4">
        <v>0.77072187185211627</v>
      </c>
      <c r="F5" s="4">
        <v>1.2434332719447037</v>
      </c>
      <c r="G5" s="4"/>
      <c r="H5" s="4"/>
      <c r="I5" s="4"/>
      <c r="J5" s="4">
        <v>1.2600072710391084</v>
      </c>
      <c r="K5" s="4">
        <v>0.90979103379155868</v>
      </c>
      <c r="L5" s="4">
        <v>0.7718710787227967</v>
      </c>
      <c r="M5" s="4">
        <v>1.2086600388896673</v>
      </c>
      <c r="N5" s="4"/>
      <c r="O5" s="4"/>
      <c r="P5" s="4"/>
      <c r="Q5" s="4">
        <v>4.0184993538022455</v>
      </c>
      <c r="R5" s="4">
        <v>2.2576613490108137</v>
      </c>
      <c r="S5" s="4">
        <v>2.3196719179210983</v>
      </c>
      <c r="T5" s="4">
        <v>2.6840400814149628</v>
      </c>
      <c r="U5" s="4"/>
      <c r="V5" s="4"/>
      <c r="W5" s="4"/>
      <c r="X5" s="4">
        <v>2.350688095850511</v>
      </c>
      <c r="Y5" s="4">
        <v>1.8983883303774416</v>
      </c>
      <c r="Z5" s="4">
        <v>2.9507206309162655</v>
      </c>
      <c r="AA5" s="154">
        <v>2.5428319725725554</v>
      </c>
      <c r="AB5" s="4"/>
      <c r="AC5" s="155"/>
      <c r="AD5" s="4"/>
    </row>
    <row r="6" spans="2:30" x14ac:dyDescent="0.25">
      <c r="B6" s="1"/>
    </row>
  </sheetData>
  <mergeCells count="4">
    <mergeCell ref="X3:AD3"/>
    <mergeCell ref="C3:I3"/>
    <mergeCell ref="J3:P3"/>
    <mergeCell ref="Q3:W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91F5-9D66-4850-8B96-E5DF0EB98846}">
  <dimension ref="B4:R7"/>
  <sheetViews>
    <sheetView workbookViewId="0">
      <selection activeCell="O7" sqref="O7:Q7"/>
    </sheetView>
  </sheetViews>
  <sheetFormatPr defaultRowHeight="15" x14ac:dyDescent="0.25"/>
  <cols>
    <col min="2" max="2" width="11.7109375" customWidth="1"/>
    <col min="11" max="11" width="14.28515625" customWidth="1"/>
    <col min="12" max="12" width="11.7109375" customWidth="1"/>
    <col min="13" max="13" width="11.28515625" customWidth="1"/>
    <col min="14" max="14" width="11.7109375" customWidth="1"/>
    <col min="15" max="15" width="11.28515625" customWidth="1"/>
    <col min="16" max="16" width="12.85546875" customWidth="1"/>
    <col min="17" max="17" width="12.28515625" customWidth="1"/>
  </cols>
  <sheetData>
    <row r="4" spans="2:18" x14ac:dyDescent="0.25">
      <c r="B4" s="4"/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K4" s="4"/>
      <c r="L4" s="7" t="s">
        <v>18</v>
      </c>
      <c r="M4" s="7" t="s">
        <v>19</v>
      </c>
      <c r="N4" s="7" t="s">
        <v>20</v>
      </c>
      <c r="O4" s="7" t="s">
        <v>21</v>
      </c>
      <c r="P4" s="7" t="s">
        <v>22</v>
      </c>
      <c r="Q4" s="7" t="s">
        <v>23</v>
      </c>
      <c r="R4" s="7" t="s">
        <v>6</v>
      </c>
    </row>
    <row r="5" spans="2:18" x14ac:dyDescent="0.25">
      <c r="B5" s="7" t="s">
        <v>24</v>
      </c>
      <c r="C5" s="4">
        <v>57190.207999999999</v>
      </c>
      <c r="D5" s="4">
        <v>58605.773000000001</v>
      </c>
      <c r="E5" s="4">
        <v>60710.186999999998</v>
      </c>
      <c r="F5" s="4">
        <v>51295.701999999997</v>
      </c>
      <c r="G5" s="4">
        <v>56619.53</v>
      </c>
      <c r="H5" s="4">
        <v>47416.207999999999</v>
      </c>
      <c r="K5" s="7" t="s">
        <v>24</v>
      </c>
      <c r="L5" s="4">
        <f>C5/$R$5</f>
        <v>0.97203755508419398</v>
      </c>
      <c r="M5" s="4">
        <f t="shared" ref="M5:Q5" si="0">D5/$R$5</f>
        <v>0.99609730918865114</v>
      </c>
      <c r="N5" s="4">
        <f t="shared" si="0"/>
        <v>1.0318651357271549</v>
      </c>
      <c r="O5" s="4">
        <f t="shared" si="0"/>
        <v>0.87185115253309442</v>
      </c>
      <c r="P5" s="4">
        <f t="shared" si="0"/>
        <v>0.9623379846986424</v>
      </c>
      <c r="Q5" s="4">
        <f t="shared" si="0"/>
        <v>0.80591304888563442</v>
      </c>
      <c r="R5" s="4">
        <f>AVERAGE(C5:E5)</f>
        <v>58835.389333333333</v>
      </c>
    </row>
    <row r="6" spans="2:18" x14ac:dyDescent="0.25">
      <c r="B6" s="7" t="s">
        <v>25</v>
      </c>
      <c r="C6" s="4">
        <v>87711.642999999996</v>
      </c>
      <c r="D6" s="4">
        <v>83086.127999999997</v>
      </c>
      <c r="E6" s="4">
        <v>70846.664000000004</v>
      </c>
      <c r="F6" s="4">
        <v>40854.35</v>
      </c>
      <c r="G6" s="4">
        <v>45034.078000000001</v>
      </c>
      <c r="H6" s="4">
        <v>55090.906999999999</v>
      </c>
      <c r="K6" s="7" t="s">
        <v>25</v>
      </c>
      <c r="L6" s="4">
        <f>C6/$R$6</f>
        <v>1.0889343634170594</v>
      </c>
      <c r="M6" s="4">
        <f t="shared" ref="M6:Q6" si="1">D6/$R$6</f>
        <v>1.0315088944630568</v>
      </c>
      <c r="N6" s="4">
        <f t="shared" si="1"/>
        <v>0.87955674211988366</v>
      </c>
      <c r="O6" s="4">
        <f t="shared" si="1"/>
        <v>0.50720410755579781</v>
      </c>
      <c r="P6" s="4">
        <f t="shared" si="1"/>
        <v>0.55909515979542423</v>
      </c>
      <c r="Q6" s="4">
        <f t="shared" si="1"/>
        <v>0.68395004006609961</v>
      </c>
      <c r="R6" s="4">
        <f>AVERAGE(C6:E6)</f>
        <v>80548.145000000004</v>
      </c>
    </row>
    <row r="7" spans="2:18" x14ac:dyDescent="0.25">
      <c r="K7" s="7" t="s">
        <v>26</v>
      </c>
      <c r="L7" s="4">
        <f t="shared" ref="L7:Q7" si="2">L6/L5</f>
        <v>1.1202595596450389</v>
      </c>
      <c r="M7" s="4">
        <f t="shared" si="2"/>
        <v>1.0355503272097477</v>
      </c>
      <c r="N7" s="4">
        <f t="shared" si="2"/>
        <v>0.8523950579065358</v>
      </c>
      <c r="O7" s="4">
        <f t="shared" si="2"/>
        <v>0.58175539033487134</v>
      </c>
      <c r="P7" s="4">
        <f t="shared" si="2"/>
        <v>0.58097588236684405</v>
      </c>
      <c r="Q7" s="4">
        <f t="shared" si="2"/>
        <v>0.84866480448706283</v>
      </c>
      <c r="R7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31A46-C796-4C77-A2E4-C2A8601DD396}">
  <dimension ref="B4:V6"/>
  <sheetViews>
    <sheetView topLeftCell="B1" workbookViewId="0">
      <selection activeCell="R31" sqref="R31"/>
    </sheetView>
  </sheetViews>
  <sheetFormatPr defaultRowHeight="15" x14ac:dyDescent="0.25"/>
  <cols>
    <col min="2" max="2" width="11.7109375" customWidth="1"/>
  </cols>
  <sheetData>
    <row r="4" spans="2:22" x14ac:dyDescent="0.25">
      <c r="B4" s="21"/>
      <c r="C4" s="158" t="s">
        <v>16</v>
      </c>
      <c r="D4" s="158"/>
      <c r="E4" s="158"/>
      <c r="F4" s="158"/>
      <c r="G4" s="158"/>
      <c r="H4" s="158" t="s">
        <v>11</v>
      </c>
      <c r="I4" s="158"/>
      <c r="J4" s="158"/>
      <c r="K4" s="158"/>
      <c r="L4" s="158"/>
      <c r="M4" s="158" t="s">
        <v>97</v>
      </c>
      <c r="N4" s="158"/>
      <c r="O4" s="158"/>
      <c r="P4" s="158"/>
      <c r="Q4" s="158"/>
      <c r="R4" s="158" t="s">
        <v>98</v>
      </c>
      <c r="S4" s="158"/>
      <c r="T4" s="158"/>
      <c r="U4" s="158"/>
      <c r="V4" s="158"/>
    </row>
    <row r="5" spans="2:22" x14ac:dyDescent="0.25">
      <c r="B5" s="5" t="s">
        <v>13</v>
      </c>
      <c r="C5" s="123">
        <v>0.88958800000000005</v>
      </c>
      <c r="D5" s="123">
        <v>1.184922</v>
      </c>
      <c r="E5" s="123">
        <v>1.0468360000000001</v>
      </c>
      <c r="F5" s="123">
        <v>1.4114960000000001</v>
      </c>
      <c r="G5" s="123">
        <v>1.027488</v>
      </c>
      <c r="H5" s="123">
        <v>3.2169690000000002</v>
      </c>
      <c r="I5" s="123">
        <v>2.525407</v>
      </c>
      <c r="J5" s="123">
        <v>2.8810760000000002</v>
      </c>
      <c r="K5" s="123">
        <v>2.1240450000000002</v>
      </c>
      <c r="L5" s="123"/>
      <c r="M5" s="123">
        <v>3.2169690000000002</v>
      </c>
      <c r="N5" s="123">
        <v>2.525407</v>
      </c>
      <c r="O5" s="123">
        <v>2.8810760000000002</v>
      </c>
      <c r="P5" s="123">
        <v>2.1240450000000002</v>
      </c>
      <c r="Q5" s="123"/>
      <c r="R5" s="123">
        <v>3.2509999999999999</v>
      </c>
      <c r="S5" s="123">
        <v>2.88</v>
      </c>
      <c r="T5" s="123">
        <v>2.9851000000000001</v>
      </c>
      <c r="U5" s="123">
        <v>1.998</v>
      </c>
      <c r="V5" s="123">
        <v>3.0125000000000002</v>
      </c>
    </row>
    <row r="6" spans="2:22" x14ac:dyDescent="0.25">
      <c r="B6" s="22" t="s">
        <v>100</v>
      </c>
      <c r="C6" s="123">
        <v>1.288138</v>
      </c>
      <c r="D6" s="123">
        <v>0.90957600000000005</v>
      </c>
      <c r="E6" s="123">
        <v>1.2546010000000001</v>
      </c>
      <c r="F6" s="123">
        <v>1.008467</v>
      </c>
      <c r="G6" s="123"/>
      <c r="H6" s="123">
        <v>3.1452399999999998</v>
      </c>
      <c r="I6" s="123">
        <v>3.0485890000000002</v>
      </c>
      <c r="J6" s="123">
        <v>3.1445799999999999</v>
      </c>
      <c r="K6" s="123">
        <v>2.5481199999999999</v>
      </c>
      <c r="L6" s="123">
        <v>3.5548700000000002</v>
      </c>
      <c r="M6" s="123">
        <v>0.77623799999999998</v>
      </c>
      <c r="N6" s="123">
        <v>1.5490120000000001</v>
      </c>
      <c r="O6" s="123">
        <v>1.524027</v>
      </c>
      <c r="P6" s="123">
        <v>0.99475599999999997</v>
      </c>
      <c r="Q6" s="123"/>
      <c r="R6" s="123">
        <v>1.6</v>
      </c>
      <c r="S6" s="123">
        <v>0.85219999999999996</v>
      </c>
      <c r="T6" s="123">
        <v>0.88849999999999996</v>
      </c>
      <c r="U6" s="123">
        <v>0.72588799999999998</v>
      </c>
      <c r="V6" s="123"/>
    </row>
  </sheetData>
  <mergeCells count="4">
    <mergeCell ref="C4:G4"/>
    <mergeCell ref="H4:L4"/>
    <mergeCell ref="M4:Q4"/>
    <mergeCell ref="R4:V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2285C-DCDB-4057-A9BC-D0B2487DADF6}">
  <dimension ref="B3:R6"/>
  <sheetViews>
    <sheetView workbookViewId="0">
      <selection activeCell="K6" sqref="K6:R6"/>
    </sheetView>
  </sheetViews>
  <sheetFormatPr defaultRowHeight="15" x14ac:dyDescent="0.25"/>
  <cols>
    <col min="2" max="2" width="11.7109375" customWidth="1"/>
    <col min="11" max="11" width="15.7109375" customWidth="1"/>
    <col min="15" max="15" width="10.5703125" customWidth="1"/>
    <col min="16" max="16" width="10.140625" customWidth="1"/>
    <col min="17" max="17" width="11" customWidth="1"/>
  </cols>
  <sheetData>
    <row r="3" spans="2:18" x14ac:dyDescent="0.25">
      <c r="B3" s="4"/>
      <c r="C3" s="7" t="s">
        <v>18</v>
      </c>
      <c r="D3" s="7" t="s">
        <v>19</v>
      </c>
      <c r="E3" s="7" t="s">
        <v>20</v>
      </c>
      <c r="F3" s="7" t="s">
        <v>56</v>
      </c>
      <c r="G3" s="7" t="s">
        <v>57</v>
      </c>
      <c r="H3" s="7" t="s">
        <v>58</v>
      </c>
      <c r="K3" s="4"/>
      <c r="L3" s="7" t="s">
        <v>18</v>
      </c>
      <c r="M3" s="7" t="s">
        <v>19</v>
      </c>
      <c r="N3" s="7" t="s">
        <v>20</v>
      </c>
      <c r="O3" s="7" t="s">
        <v>56</v>
      </c>
      <c r="P3" s="7" t="s">
        <v>57</v>
      </c>
      <c r="Q3" s="7" t="s">
        <v>58</v>
      </c>
      <c r="R3" s="7" t="s">
        <v>6</v>
      </c>
    </row>
    <row r="4" spans="2:18" x14ac:dyDescent="0.25">
      <c r="B4" s="7" t="s">
        <v>24</v>
      </c>
      <c r="C4" s="4">
        <v>138739.283</v>
      </c>
      <c r="D4" s="4">
        <v>161015.24100000001</v>
      </c>
      <c r="E4" s="4">
        <v>171383.60500000001</v>
      </c>
      <c r="F4" s="4">
        <v>151853.82699999999</v>
      </c>
      <c r="G4" s="4">
        <v>141253.12</v>
      </c>
      <c r="H4" s="4">
        <v>151856.43400000001</v>
      </c>
      <c r="K4" s="7" t="s">
        <v>24</v>
      </c>
      <c r="L4" s="4">
        <f>C4/$R$4</f>
        <v>0.88343061913377863</v>
      </c>
      <c r="M4" s="4">
        <f t="shared" ref="M4:Q4" si="0">D4/$R$4</f>
        <v>1.0252741038499138</v>
      </c>
      <c r="N4" s="4">
        <f t="shared" si="0"/>
        <v>1.091295277016308</v>
      </c>
      <c r="O4" s="4">
        <f t="shared" si="0"/>
        <v>0.96693825644495868</v>
      </c>
      <c r="P4" s="4">
        <f t="shared" si="0"/>
        <v>0.89943762543574568</v>
      </c>
      <c r="Q4" s="4">
        <f t="shared" si="0"/>
        <v>0.96695485667219283</v>
      </c>
      <c r="R4" s="4">
        <f>AVERAGE(C4:E4)</f>
        <v>157046.04299999998</v>
      </c>
    </row>
    <row r="5" spans="2:18" x14ac:dyDescent="0.25">
      <c r="B5" s="7" t="s">
        <v>59</v>
      </c>
      <c r="C5" s="4">
        <v>28658.309000000001</v>
      </c>
      <c r="D5" s="4">
        <v>28349.259536591217</v>
      </c>
      <c r="E5" s="4">
        <v>42708.345839329188</v>
      </c>
      <c r="F5" s="4">
        <v>5305.4989714989051</v>
      </c>
      <c r="G5" s="4">
        <v>9073.8769670222755</v>
      </c>
      <c r="H5" s="4">
        <v>9467.3491332508311</v>
      </c>
      <c r="K5" s="7" t="s">
        <v>59</v>
      </c>
      <c r="L5" s="4">
        <f>C5/$R$5</f>
        <v>0.86219865242254046</v>
      </c>
      <c r="M5" s="4">
        <f t="shared" ref="M5:Q5" si="1">D5/$R$5</f>
        <v>0.85290075452901981</v>
      </c>
      <c r="N5" s="4">
        <f t="shared" si="1"/>
        <v>1.2849005930484396</v>
      </c>
      <c r="O5" s="4">
        <f t="shared" si="1"/>
        <v>0.15961842213563718</v>
      </c>
      <c r="P5" s="4">
        <f t="shared" si="1"/>
        <v>0.27299183958183065</v>
      </c>
      <c r="Q5" s="4">
        <f t="shared" si="1"/>
        <v>0.28482963404095379</v>
      </c>
      <c r="R5" s="4">
        <f>AVERAGE(C5:E5)</f>
        <v>33238.638125306803</v>
      </c>
    </row>
    <row r="6" spans="2:18" x14ac:dyDescent="0.25">
      <c r="K6" s="7" t="s">
        <v>60</v>
      </c>
      <c r="L6" s="4">
        <f t="shared" ref="L6:Q6" si="2">L5/L4</f>
        <v>0.97596645820126027</v>
      </c>
      <c r="M6" s="4">
        <f t="shared" si="2"/>
        <v>0.83187583820401734</v>
      </c>
      <c r="N6" s="4">
        <f t="shared" si="2"/>
        <v>1.1774087363059653</v>
      </c>
      <c r="O6" s="4">
        <f t="shared" si="2"/>
        <v>0.16507612670377697</v>
      </c>
      <c r="P6" s="4">
        <f t="shared" si="2"/>
        <v>0.30351392010043582</v>
      </c>
      <c r="Q6" s="4">
        <f t="shared" si="2"/>
        <v>0.29456352804432301</v>
      </c>
      <c r="R6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5ABD-F2ED-4CDE-87E8-47F82EB9F0AF}">
  <dimension ref="B2:R24"/>
  <sheetViews>
    <sheetView workbookViewId="0">
      <selection activeCell="O35" sqref="O35"/>
    </sheetView>
  </sheetViews>
  <sheetFormatPr defaultRowHeight="15" x14ac:dyDescent="0.25"/>
  <cols>
    <col min="2" max="2" width="17.85546875" customWidth="1"/>
    <col min="11" max="11" width="26.28515625" customWidth="1"/>
    <col min="19" max="19" width="15" customWidth="1"/>
    <col min="21" max="21" width="14.28515625" customWidth="1"/>
    <col min="29" max="29" width="14.7109375" customWidth="1"/>
    <col min="46" max="46" width="13.5703125" customWidth="1"/>
  </cols>
  <sheetData>
    <row r="2" spans="2:18" x14ac:dyDescent="0.25">
      <c r="B2" s="4"/>
      <c r="C2" s="157" t="s">
        <v>27</v>
      </c>
      <c r="D2" s="157"/>
      <c r="E2" s="157"/>
      <c r="F2" s="157" t="s">
        <v>30</v>
      </c>
      <c r="G2" s="157"/>
      <c r="H2" s="157"/>
      <c r="L2" s="157" t="s">
        <v>27</v>
      </c>
      <c r="M2" s="157"/>
      <c r="N2" s="157"/>
      <c r="O2" s="157" t="s">
        <v>30</v>
      </c>
      <c r="P2" s="157"/>
      <c r="Q2" s="157"/>
    </row>
    <row r="3" spans="2:18" x14ac:dyDescent="0.25">
      <c r="B3" s="4"/>
      <c r="C3" s="25">
        <v>1</v>
      </c>
      <c r="D3" s="25">
        <v>2</v>
      </c>
      <c r="E3" s="25">
        <v>3</v>
      </c>
      <c r="F3" s="25">
        <v>1</v>
      </c>
      <c r="G3" s="25">
        <v>2</v>
      </c>
      <c r="H3" s="25">
        <v>3</v>
      </c>
      <c r="L3" s="81">
        <v>1</v>
      </c>
      <c r="M3" s="81">
        <v>2</v>
      </c>
      <c r="N3" s="81">
        <v>3</v>
      </c>
      <c r="O3" s="81">
        <v>1</v>
      </c>
      <c r="P3" s="81">
        <v>2</v>
      </c>
      <c r="Q3" s="81">
        <v>3</v>
      </c>
      <c r="R3" s="7" t="s">
        <v>6</v>
      </c>
    </row>
    <row r="4" spans="2:18" x14ac:dyDescent="0.25">
      <c r="B4" s="7" t="s">
        <v>24</v>
      </c>
      <c r="C4" s="4">
        <v>165217.10800000001</v>
      </c>
      <c r="D4" s="4">
        <v>168850.886</v>
      </c>
      <c r="E4" s="4">
        <v>150834.63500000001</v>
      </c>
      <c r="F4" s="4">
        <v>149110.27100000001</v>
      </c>
      <c r="G4" s="4">
        <v>106942.70600000001</v>
      </c>
      <c r="H4" s="4">
        <v>108535.584</v>
      </c>
      <c r="K4" s="80" t="s">
        <v>24</v>
      </c>
      <c r="L4" s="4">
        <f>C4/$R$4</f>
        <v>1.0221667080299539</v>
      </c>
      <c r="M4" s="4">
        <f t="shared" ref="M4:Q4" si="0">D4/$R$4</f>
        <v>1.0446481988448861</v>
      </c>
      <c r="N4" s="4">
        <f t="shared" si="0"/>
        <v>0.93318509312516029</v>
      </c>
      <c r="O4" s="4">
        <f t="shared" si="0"/>
        <v>0.92251678223010836</v>
      </c>
      <c r="P4" s="4">
        <f t="shared" si="0"/>
        <v>0.66163410716422411</v>
      </c>
      <c r="Q4" s="4">
        <f t="shared" si="0"/>
        <v>0.67148893927733277</v>
      </c>
      <c r="R4" s="4">
        <f>AVERAGE(C4:E4)</f>
        <v>161634.20966666666</v>
      </c>
    </row>
    <row r="5" spans="2:18" x14ac:dyDescent="0.25">
      <c r="B5" s="7" t="s">
        <v>103</v>
      </c>
      <c r="C5" s="4">
        <v>129019.726</v>
      </c>
      <c r="D5" s="4">
        <v>138394.73499999999</v>
      </c>
      <c r="E5" s="4">
        <v>113536.484</v>
      </c>
      <c r="F5" s="4">
        <v>164111.342</v>
      </c>
      <c r="G5" s="4">
        <v>150492.36199999999</v>
      </c>
      <c r="H5" s="4">
        <v>158739.049</v>
      </c>
      <c r="K5" s="7" t="s">
        <v>103</v>
      </c>
      <c r="L5" s="4">
        <f>C5/$R$5</f>
        <v>1.0160341720638073</v>
      </c>
      <c r="M5" s="4">
        <f t="shared" ref="M5:Q5" si="1">D5/$R$5</f>
        <v>1.0898626462260119</v>
      </c>
      <c r="N5" s="4">
        <f t="shared" si="1"/>
        <v>0.89410318171018055</v>
      </c>
      <c r="O5" s="4">
        <f t="shared" si="1"/>
        <v>1.2923816897212317</v>
      </c>
      <c r="P5" s="4">
        <f t="shared" si="1"/>
        <v>1.1851318179562462</v>
      </c>
      <c r="Q5" s="4">
        <f t="shared" si="1"/>
        <v>1.2500747228754086</v>
      </c>
      <c r="R5" s="4">
        <f>AVERAGE(C5:E5)</f>
        <v>126983.64833333333</v>
      </c>
    </row>
    <row r="6" spans="2:18" x14ac:dyDescent="0.25">
      <c r="B6" s="7" t="s">
        <v>104</v>
      </c>
      <c r="C6" s="4">
        <v>130627.798</v>
      </c>
      <c r="D6" s="4">
        <v>111882.12</v>
      </c>
      <c r="E6" s="4">
        <v>82987.240999999995</v>
      </c>
      <c r="F6" s="4">
        <v>98591.048999999999</v>
      </c>
      <c r="G6" s="4">
        <v>87301.534</v>
      </c>
      <c r="H6" s="4">
        <v>80877.534</v>
      </c>
      <c r="K6" s="7" t="s">
        <v>104</v>
      </c>
      <c r="L6" s="4">
        <f>C6/$R$6</f>
        <v>1.2039533469476458</v>
      </c>
      <c r="M6" s="4">
        <f t="shared" ref="M6:Q6" si="2">D6/$R$6</f>
        <v>1.031180613161665</v>
      </c>
      <c r="N6" s="4">
        <f t="shared" si="2"/>
        <v>0.76486603989068913</v>
      </c>
      <c r="O6" s="4">
        <f t="shared" si="2"/>
        <v>0.90868119374276934</v>
      </c>
      <c r="P6" s="4">
        <f t="shared" si="2"/>
        <v>0.80462945607460734</v>
      </c>
      <c r="Q6" s="4">
        <f t="shared" si="2"/>
        <v>0.74542156602970533</v>
      </c>
      <c r="R6" s="4">
        <f>AVERAGE(C6:E6)</f>
        <v>108499.053</v>
      </c>
    </row>
    <row r="9" spans="2:18" x14ac:dyDescent="0.25">
      <c r="K9" s="82" t="s">
        <v>105</v>
      </c>
      <c r="L9" s="21">
        <f t="shared" ref="L9:Q9" si="3">L5/L4</f>
        <v>0.99400045421361261</v>
      </c>
      <c r="M9" s="21">
        <f t="shared" si="3"/>
        <v>1.0432819847209054</v>
      </c>
      <c r="N9" s="21">
        <f t="shared" si="3"/>
        <v>0.95811987171366231</v>
      </c>
      <c r="O9" s="21">
        <f t="shared" si="3"/>
        <v>1.4009302753246455</v>
      </c>
      <c r="P9" s="21">
        <f t="shared" si="3"/>
        <v>1.7912193539050503</v>
      </c>
      <c r="Q9" s="21">
        <f t="shared" si="3"/>
        <v>1.8616460372686989</v>
      </c>
    </row>
    <row r="10" spans="2:18" x14ac:dyDescent="0.25">
      <c r="K10" s="82" t="s">
        <v>106</v>
      </c>
      <c r="L10" s="21">
        <f t="shared" ref="L10:Q10" si="4">L6/L4</f>
        <v>1.1778444137239155</v>
      </c>
      <c r="M10" s="21">
        <f t="shared" si="4"/>
        <v>0.987108018088661</v>
      </c>
      <c r="N10" s="21">
        <f t="shared" si="4"/>
        <v>0.81962950922117228</v>
      </c>
      <c r="O10" s="21">
        <f t="shared" si="4"/>
        <v>0.9850023449395765</v>
      </c>
      <c r="P10" s="21">
        <f t="shared" si="4"/>
        <v>1.2161245125697402</v>
      </c>
      <c r="Q10" s="21">
        <f t="shared" si="4"/>
        <v>1.1101025235530164</v>
      </c>
    </row>
    <row r="12" spans="2:18" x14ac:dyDescent="0.25">
      <c r="C12" s="157" t="s">
        <v>27</v>
      </c>
      <c r="D12" s="157"/>
      <c r="E12" s="157"/>
      <c r="F12" s="157" t="s">
        <v>30</v>
      </c>
      <c r="G12" s="157"/>
      <c r="H12" s="157"/>
      <c r="L12" s="157" t="s">
        <v>27</v>
      </c>
      <c r="M12" s="157"/>
      <c r="N12" s="157"/>
      <c r="O12" s="157" t="s">
        <v>30</v>
      </c>
      <c r="P12" s="157"/>
      <c r="Q12" s="157"/>
    </row>
    <row r="13" spans="2:18" x14ac:dyDescent="0.25">
      <c r="C13" s="81">
        <v>1</v>
      </c>
      <c r="D13" s="81">
        <v>2</v>
      </c>
      <c r="E13" s="81">
        <v>3</v>
      </c>
      <c r="F13" s="81">
        <v>1</v>
      </c>
      <c r="G13" s="81">
        <v>2</v>
      </c>
      <c r="H13" s="81">
        <v>3</v>
      </c>
      <c r="L13" s="81">
        <v>1</v>
      </c>
      <c r="M13" s="81">
        <v>2</v>
      </c>
      <c r="N13" s="81">
        <v>3</v>
      </c>
      <c r="O13" s="81">
        <v>1</v>
      </c>
      <c r="P13" s="81">
        <v>2</v>
      </c>
      <c r="Q13" s="81">
        <v>3</v>
      </c>
      <c r="R13" s="7" t="s">
        <v>6</v>
      </c>
    </row>
    <row r="14" spans="2:18" x14ac:dyDescent="0.25">
      <c r="B14" s="7" t="s">
        <v>24</v>
      </c>
      <c r="C14" s="4">
        <v>119299.777</v>
      </c>
      <c r="D14" s="4">
        <v>135535.39199999999</v>
      </c>
      <c r="E14" s="4">
        <v>155494.29999999999</v>
      </c>
      <c r="F14" s="4">
        <v>148579.90700000001</v>
      </c>
      <c r="G14" s="4">
        <v>145755.057</v>
      </c>
      <c r="H14" s="4">
        <v>157317.75599999999</v>
      </c>
      <c r="K14" s="7" t="s">
        <v>7</v>
      </c>
      <c r="L14" s="4">
        <f>C14/$R$14</f>
        <v>0.87222429301074644</v>
      </c>
      <c r="M14" s="4">
        <f t="shared" ref="M14:Q14" si="5">D14/$R$14</f>
        <v>0.99092608920077341</v>
      </c>
      <c r="N14" s="4">
        <f t="shared" si="5"/>
        <v>1.1368496177884801</v>
      </c>
      <c r="O14" s="4">
        <f t="shared" si="5"/>
        <v>1.086297121399292</v>
      </c>
      <c r="P14" s="4">
        <f t="shared" si="5"/>
        <v>1.0656440836814478</v>
      </c>
      <c r="Q14" s="4">
        <f t="shared" si="5"/>
        <v>1.1501812656794581</v>
      </c>
      <c r="R14" s="4">
        <f>AVERAGE(C14:E14)</f>
        <v>136776.48966666666</v>
      </c>
    </row>
    <row r="15" spans="2:18" x14ac:dyDescent="0.25">
      <c r="B15" s="7" t="s">
        <v>107</v>
      </c>
      <c r="C15" s="4">
        <v>58767.53</v>
      </c>
      <c r="D15" s="4">
        <v>60217.288</v>
      </c>
      <c r="E15" s="4">
        <v>59758.216999999997</v>
      </c>
      <c r="F15" s="4">
        <v>46649.53</v>
      </c>
      <c r="G15" s="4">
        <v>42848.752</v>
      </c>
      <c r="H15" s="4">
        <v>44457.752</v>
      </c>
      <c r="K15" s="7" t="s">
        <v>107</v>
      </c>
      <c r="L15" s="4">
        <f>C15/$R$15</f>
        <v>0.98634662883507596</v>
      </c>
      <c r="M15" s="4">
        <f t="shared" ref="M15:Q15" si="6">D15/$R$15</f>
        <v>1.010679179750976</v>
      </c>
      <c r="N15" s="4">
        <f t="shared" si="6"/>
        <v>1.0029741914139478</v>
      </c>
      <c r="O15" s="4">
        <f t="shared" si="6"/>
        <v>0.78295968287659434</v>
      </c>
      <c r="P15" s="4">
        <f t="shared" si="6"/>
        <v>0.71916791610929065</v>
      </c>
      <c r="Q15" s="4">
        <f t="shared" si="6"/>
        <v>0.74617316417392154</v>
      </c>
      <c r="R15" s="4">
        <f>AVERAGE(C15:E15)</f>
        <v>59581.011666666665</v>
      </c>
    </row>
    <row r="16" spans="2:18" x14ac:dyDescent="0.25">
      <c r="B16" s="7" t="s">
        <v>108</v>
      </c>
      <c r="C16" s="4">
        <v>44568.065999999999</v>
      </c>
      <c r="D16" s="4">
        <v>40255.945</v>
      </c>
      <c r="E16" s="4">
        <v>39052.53</v>
      </c>
      <c r="F16" s="4">
        <v>44869.409</v>
      </c>
      <c r="G16" s="4">
        <v>48326.48</v>
      </c>
      <c r="H16" s="4">
        <v>41829.773000000001</v>
      </c>
      <c r="K16" s="7" t="s">
        <v>108</v>
      </c>
      <c r="L16" s="4">
        <f>C16/$R$16</f>
        <v>1.079334286545828</v>
      </c>
      <c r="M16" s="4">
        <f t="shared" ref="M16:Q16" si="7">D16/$R$16</f>
        <v>0.97490480461510476</v>
      </c>
      <c r="N16" s="4">
        <f t="shared" si="7"/>
        <v>0.94576090883906749</v>
      </c>
      <c r="O16" s="4">
        <f t="shared" si="7"/>
        <v>1.0866321089801823</v>
      </c>
      <c r="P16" s="4">
        <f t="shared" si="7"/>
        <v>1.1703542803959954</v>
      </c>
      <c r="Q16" s="4">
        <f t="shared" si="7"/>
        <v>1.0130192366285076</v>
      </c>
      <c r="R16" s="4">
        <f>AVERAGE(C16:E16)</f>
        <v>41292.18033333333</v>
      </c>
    </row>
    <row r="19" spans="11:17" x14ac:dyDescent="0.25">
      <c r="K19" s="7" t="s">
        <v>109</v>
      </c>
      <c r="L19" s="4">
        <f t="shared" ref="L19:Q19" si="8">L15/L14</f>
        <v>1.1308405839401718</v>
      </c>
      <c r="M19" s="4">
        <f t="shared" si="8"/>
        <v>1.0199339696123395</v>
      </c>
      <c r="N19" s="4">
        <f t="shared" si="8"/>
        <v>0.88223998646807755</v>
      </c>
      <c r="O19" s="4">
        <f t="shared" si="8"/>
        <v>0.7207601561790391</v>
      </c>
      <c r="P19" s="4">
        <f t="shared" si="8"/>
        <v>0.67486689704577851</v>
      </c>
      <c r="Q19" s="4">
        <f t="shared" si="8"/>
        <v>0.64874397317985111</v>
      </c>
    </row>
    <row r="20" spans="11:17" x14ac:dyDescent="0.25">
      <c r="K20" s="7" t="s">
        <v>110</v>
      </c>
      <c r="L20" s="4">
        <f t="shared" ref="L20:Q20" si="9">L16/L14</f>
        <v>1.2374503842585931</v>
      </c>
      <c r="M20" s="4">
        <f t="shared" si="9"/>
        <v>0.98383200850167285</v>
      </c>
      <c r="N20" s="4">
        <f t="shared" si="9"/>
        <v>0.83191382047421669</v>
      </c>
      <c r="O20" s="4">
        <f t="shared" si="9"/>
        <v>1.0003083756499866</v>
      </c>
      <c r="P20" s="4">
        <f t="shared" si="9"/>
        <v>1.0982600084944014</v>
      </c>
      <c r="Q20" s="4">
        <f t="shared" si="9"/>
        <v>0.88074746725254349</v>
      </c>
    </row>
    <row r="23" spans="11:17" x14ac:dyDescent="0.25">
      <c r="K23" s="7" t="s">
        <v>111</v>
      </c>
      <c r="L23" s="4">
        <f>L15/L5</f>
        <v>0.97078095988796431</v>
      </c>
      <c r="M23" s="4">
        <f t="shared" ref="M23:Q23" si="10">M15/M5</f>
        <v>0.92734546252297634</v>
      </c>
      <c r="N23" s="4">
        <f t="shared" si="10"/>
        <v>1.1217655992404882</v>
      </c>
      <c r="O23" s="4">
        <f t="shared" si="10"/>
        <v>0.60582696977506678</v>
      </c>
      <c r="P23" s="4">
        <f t="shared" si="10"/>
        <v>0.60682525370847951</v>
      </c>
      <c r="Q23" s="4">
        <f t="shared" si="10"/>
        <v>0.59690284950133377</v>
      </c>
    </row>
    <row r="24" spans="11:17" x14ac:dyDescent="0.25">
      <c r="K24" s="7" t="s">
        <v>112</v>
      </c>
      <c r="L24" s="4">
        <f>L20/L10</f>
        <v>1.0506059797373621</v>
      </c>
      <c r="M24" s="4">
        <f t="shared" ref="M24:Q24" si="11">M20/M10</f>
        <v>0.99668120456226106</v>
      </c>
      <c r="N24" s="4">
        <f t="shared" si="11"/>
        <v>1.0149876390672137</v>
      </c>
      <c r="O24" s="4">
        <f t="shared" si="11"/>
        <v>1.0155390804793962</v>
      </c>
      <c r="P24" s="4">
        <f t="shared" si="11"/>
        <v>0.90308187783643601</v>
      </c>
      <c r="Q24" s="4">
        <f t="shared" si="11"/>
        <v>0.79339290611970281</v>
      </c>
    </row>
  </sheetData>
  <mergeCells count="8">
    <mergeCell ref="C12:E12"/>
    <mergeCell ref="F12:H12"/>
    <mergeCell ref="L12:N12"/>
    <mergeCell ref="O12:Q12"/>
    <mergeCell ref="C2:E2"/>
    <mergeCell ref="F2:H2"/>
    <mergeCell ref="L2:N2"/>
    <mergeCell ref="O2:Q2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F284-E5B9-4869-9786-1C37539528C8}">
  <dimension ref="B3:Q6"/>
  <sheetViews>
    <sheetView workbookViewId="0">
      <selection activeCell="N28" sqref="N28"/>
    </sheetView>
  </sheetViews>
  <sheetFormatPr defaultRowHeight="15" x14ac:dyDescent="0.25"/>
  <cols>
    <col min="19" max="19" width="15" customWidth="1"/>
    <col min="21" max="21" width="14.28515625" customWidth="1"/>
    <col min="29" max="29" width="14.7109375" customWidth="1"/>
    <col min="46" max="46" width="13.5703125" customWidth="1"/>
  </cols>
  <sheetData>
    <row r="3" spans="2:17" x14ac:dyDescent="0.25">
      <c r="B3" s="4"/>
      <c r="C3" s="158" t="s">
        <v>16</v>
      </c>
      <c r="D3" s="158"/>
      <c r="E3" s="158"/>
      <c r="F3" s="158"/>
      <c r="G3" s="158"/>
      <c r="H3" s="158" t="s">
        <v>113</v>
      </c>
      <c r="I3" s="158"/>
      <c r="J3" s="158"/>
      <c r="K3" s="158"/>
      <c r="L3" s="158"/>
      <c r="M3" s="158" t="s">
        <v>10</v>
      </c>
      <c r="N3" s="158"/>
      <c r="O3" s="158"/>
      <c r="P3" s="158"/>
      <c r="Q3" s="158"/>
    </row>
    <row r="4" spans="2:17" x14ac:dyDescent="0.25">
      <c r="B4" s="8" t="s">
        <v>13</v>
      </c>
      <c r="C4" s="6">
        <v>1.4597508050000001</v>
      </c>
      <c r="D4" s="6">
        <v>1.6203901970000001</v>
      </c>
      <c r="E4" s="6">
        <v>0.57339449499999995</v>
      </c>
      <c r="F4" s="6">
        <v>0.89116929199999995</v>
      </c>
      <c r="G4" s="6"/>
      <c r="H4" s="6">
        <v>9.4807302230000001</v>
      </c>
      <c r="I4" s="6">
        <v>9.8845614039999994</v>
      </c>
      <c r="J4" s="6">
        <v>7.7421013959999998</v>
      </c>
      <c r="K4" s="6">
        <v>3.9210128499999999</v>
      </c>
      <c r="L4" s="6">
        <v>7.3302971159999997</v>
      </c>
      <c r="M4" s="6">
        <v>7.027217651</v>
      </c>
      <c r="N4" s="6">
        <v>7.2939221270000001</v>
      </c>
      <c r="O4" s="6">
        <v>3.5918252690000001</v>
      </c>
      <c r="P4" s="6"/>
      <c r="Q4" s="6"/>
    </row>
    <row r="5" spans="2:17" x14ac:dyDescent="0.25">
      <c r="B5" s="8" t="s">
        <v>114</v>
      </c>
      <c r="C5" s="6">
        <v>1.0727572359999999</v>
      </c>
      <c r="D5" s="6">
        <v>0.8</v>
      </c>
      <c r="E5" s="6">
        <v>1.172251733</v>
      </c>
      <c r="F5" s="6"/>
      <c r="G5" s="6"/>
      <c r="H5" s="6">
        <v>1.188990988</v>
      </c>
      <c r="I5" s="6">
        <v>1.574299452</v>
      </c>
      <c r="J5" s="6">
        <v>1.804648794</v>
      </c>
      <c r="K5" s="6">
        <v>1.240083507</v>
      </c>
      <c r="L5" s="6">
        <v>2.2311270759999999</v>
      </c>
      <c r="M5" s="6">
        <v>3.103605639</v>
      </c>
      <c r="N5" s="6">
        <v>4.1096666669999999</v>
      </c>
      <c r="O5" s="6">
        <v>4.9988098780000003</v>
      </c>
      <c r="P5" s="6"/>
      <c r="Q5" s="6"/>
    </row>
    <row r="6" spans="2:17" x14ac:dyDescent="0.25">
      <c r="B6" s="8" t="s">
        <v>115</v>
      </c>
      <c r="C6" s="6">
        <v>1.0800354919999999</v>
      </c>
      <c r="D6" s="6">
        <v>0.87018828500000001</v>
      </c>
      <c r="E6" s="6">
        <v>1.7843199999999999</v>
      </c>
      <c r="F6" s="6">
        <v>1.305687204</v>
      </c>
      <c r="G6" s="6">
        <v>1.9306695679999999</v>
      </c>
      <c r="H6" s="6">
        <v>1.3278818999999999</v>
      </c>
      <c r="I6" s="6">
        <v>1.4815032699999999</v>
      </c>
      <c r="J6" s="6">
        <v>2.4677186999999998</v>
      </c>
      <c r="K6" s="6">
        <v>2.2554171300000001</v>
      </c>
      <c r="L6" s="6"/>
      <c r="M6" s="6">
        <v>3.9990100000000002</v>
      </c>
      <c r="N6" s="6">
        <v>3.8059880000000001</v>
      </c>
      <c r="O6" s="6">
        <v>4.772265</v>
      </c>
      <c r="P6" s="6">
        <v>4.596597</v>
      </c>
      <c r="Q6" s="6"/>
    </row>
  </sheetData>
  <mergeCells count="3">
    <mergeCell ref="C3:G3"/>
    <mergeCell ref="H3:L3"/>
    <mergeCell ref="M3:Q3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7DBE8-AC7C-4061-89C5-31E612CC4282}">
  <dimension ref="B4:AU44"/>
  <sheetViews>
    <sheetView topLeftCell="A10" workbookViewId="0">
      <selection activeCell="T23" sqref="T23"/>
    </sheetView>
  </sheetViews>
  <sheetFormatPr defaultRowHeight="15" x14ac:dyDescent="0.25"/>
  <cols>
    <col min="19" max="19" width="15" customWidth="1"/>
    <col min="21" max="21" width="14.28515625" customWidth="1"/>
    <col min="29" max="29" width="14.7109375" customWidth="1"/>
    <col min="46" max="46" width="13.5703125" customWidth="1"/>
  </cols>
  <sheetData>
    <row r="4" spans="2:47" x14ac:dyDescent="0.25">
      <c r="B4" t="s">
        <v>116</v>
      </c>
      <c r="AB4" t="s">
        <v>116</v>
      </c>
    </row>
    <row r="5" spans="2:47" x14ac:dyDescent="0.25">
      <c r="B5" t="s">
        <v>31</v>
      </c>
      <c r="AB5" t="s">
        <v>31</v>
      </c>
    </row>
    <row r="6" spans="2:47" x14ac:dyDescent="0.25">
      <c r="B6" t="s">
        <v>117</v>
      </c>
      <c r="AB6" t="s">
        <v>118</v>
      </c>
    </row>
    <row r="7" spans="2:47" x14ac:dyDescent="0.25">
      <c r="B7" t="s">
        <v>119</v>
      </c>
      <c r="AB7" t="s">
        <v>120</v>
      </c>
    </row>
    <row r="8" spans="2:47" x14ac:dyDescent="0.25">
      <c r="B8" t="s">
        <v>121</v>
      </c>
      <c r="AB8" t="s">
        <v>122</v>
      </c>
    </row>
    <row r="9" spans="2:47" x14ac:dyDescent="0.25">
      <c r="B9" t="s">
        <v>123</v>
      </c>
      <c r="AB9" t="s">
        <v>124</v>
      </c>
    </row>
    <row r="10" spans="2:47" x14ac:dyDescent="0.25">
      <c r="B10" t="s">
        <v>125</v>
      </c>
      <c r="E10" t="s">
        <v>126</v>
      </c>
      <c r="AB10" t="s">
        <v>125</v>
      </c>
      <c r="AE10" t="s">
        <v>126</v>
      </c>
    </row>
    <row r="14" spans="2:47" x14ac:dyDescent="0.25">
      <c r="C14" t="s">
        <v>127</v>
      </c>
      <c r="AC14" t="s">
        <v>128</v>
      </c>
    </row>
    <row r="15" spans="2:47" x14ac:dyDescent="0.25">
      <c r="C15" s="11">
        <v>1</v>
      </c>
      <c r="D15" s="11">
        <v>2</v>
      </c>
      <c r="E15" s="11">
        <v>3</v>
      </c>
      <c r="F15" s="11">
        <v>4</v>
      </c>
      <c r="G15" s="11">
        <v>5</v>
      </c>
      <c r="H15" s="11">
        <v>6</v>
      </c>
      <c r="I15" s="11">
        <v>7</v>
      </c>
      <c r="J15" s="11">
        <v>8</v>
      </c>
      <c r="K15" s="11">
        <v>9</v>
      </c>
      <c r="L15" s="11">
        <v>10</v>
      </c>
      <c r="M15" s="11">
        <v>11</v>
      </c>
      <c r="N15" s="11">
        <v>12</v>
      </c>
      <c r="AC15" s="11">
        <v>1</v>
      </c>
      <c r="AD15" s="11">
        <v>2</v>
      </c>
      <c r="AE15" s="11">
        <v>3</v>
      </c>
      <c r="AF15" s="11">
        <v>4</v>
      </c>
      <c r="AG15" s="11">
        <v>5</v>
      </c>
      <c r="AH15" s="11">
        <v>6</v>
      </c>
      <c r="AI15" s="11">
        <v>7</v>
      </c>
      <c r="AJ15" s="11">
        <v>8</v>
      </c>
      <c r="AK15" s="11">
        <v>9</v>
      </c>
      <c r="AL15" s="11">
        <v>10</v>
      </c>
      <c r="AM15" s="11">
        <v>11</v>
      </c>
      <c r="AN15" s="11">
        <v>12</v>
      </c>
      <c r="AQ15" s="11" t="s">
        <v>129</v>
      </c>
      <c r="AR15" s="11" t="s">
        <v>47</v>
      </c>
      <c r="AS15" s="11" t="s">
        <v>130</v>
      </c>
      <c r="AT15" s="11" t="s">
        <v>131</v>
      </c>
      <c r="AU15" s="11" t="s">
        <v>132</v>
      </c>
    </row>
    <row r="16" spans="2:47" x14ac:dyDescent="0.25">
      <c r="B16" s="11" t="s">
        <v>38</v>
      </c>
      <c r="C16" s="12">
        <v>0.63600000000000001</v>
      </c>
      <c r="D16" s="13">
        <v>0.65300000000000002</v>
      </c>
      <c r="E16" s="13">
        <v>0.91</v>
      </c>
      <c r="F16" s="13">
        <v>0.86299999999999999</v>
      </c>
      <c r="G16" s="13">
        <v>0.82299999999999995</v>
      </c>
      <c r="H16" s="13">
        <v>0.80400000000000005</v>
      </c>
      <c r="I16" s="13">
        <v>0.78900000000000003</v>
      </c>
      <c r="J16" s="13"/>
      <c r="K16" s="13"/>
      <c r="L16" s="13"/>
      <c r="M16" s="13"/>
      <c r="N16" s="14"/>
      <c r="AB16" s="11" t="s">
        <v>38</v>
      </c>
      <c r="AC16" s="12">
        <v>0.59499999999999997</v>
      </c>
      <c r="AD16" s="13">
        <v>0.52600000000000002</v>
      </c>
      <c r="AE16" s="13">
        <v>0.28799999999999998</v>
      </c>
      <c r="AF16" s="13">
        <v>0.29099999999999998</v>
      </c>
      <c r="AG16" s="13">
        <v>0.314</v>
      </c>
      <c r="AH16" s="13">
        <v>0.318</v>
      </c>
      <c r="AI16" s="13">
        <v>0.61099999999999999</v>
      </c>
      <c r="AJ16" s="13">
        <v>0.63700000000000001</v>
      </c>
      <c r="AK16" s="13">
        <v>0.41499999999999998</v>
      </c>
      <c r="AL16" s="13">
        <v>0.32500000000000001</v>
      </c>
      <c r="AM16" s="13"/>
      <c r="AN16" s="14"/>
      <c r="AQ16" s="3">
        <v>0</v>
      </c>
      <c r="AR16" s="3">
        <f t="shared" ref="AR16:AR23" si="0">AVERAGE(AE16:AF16)</f>
        <v>0.28949999999999998</v>
      </c>
      <c r="AS16" s="3">
        <f t="shared" ref="AS16:AS35" si="1">AR16-0.1095</f>
        <v>0.18</v>
      </c>
      <c r="AT16" s="3">
        <f>(AS16-0.0075)/0.0002</f>
        <v>862.49999999999989</v>
      </c>
      <c r="AU16" s="3">
        <f>AT16*2</f>
        <v>1724.9999999999998</v>
      </c>
    </row>
    <row r="17" spans="2:47" x14ac:dyDescent="0.25">
      <c r="B17" s="11" t="s">
        <v>40</v>
      </c>
      <c r="C17" s="15">
        <v>0.375</v>
      </c>
      <c r="D17" s="16">
        <v>0.41499999999999998</v>
      </c>
      <c r="E17" s="16">
        <v>0.754</v>
      </c>
      <c r="F17" s="16">
        <v>0.75900000000000001</v>
      </c>
      <c r="G17" s="16">
        <v>0.70099999999999996</v>
      </c>
      <c r="H17" s="16">
        <v>0.73499999999999999</v>
      </c>
      <c r="I17" s="16">
        <v>0.75900000000000001</v>
      </c>
      <c r="J17" s="16"/>
      <c r="K17" s="16"/>
      <c r="L17" s="16"/>
      <c r="M17" s="16"/>
      <c r="N17" s="17"/>
      <c r="AB17" s="11" t="s">
        <v>40</v>
      </c>
      <c r="AC17" s="15">
        <v>0.46600000000000003</v>
      </c>
      <c r="AD17" s="16">
        <v>0.39400000000000002</v>
      </c>
      <c r="AE17" s="16">
        <v>0.28999999999999998</v>
      </c>
      <c r="AF17" s="16">
        <v>0.29199999999999998</v>
      </c>
      <c r="AG17" s="16">
        <v>0.309</v>
      </c>
      <c r="AH17" s="16">
        <v>0.309</v>
      </c>
      <c r="AI17" s="16">
        <v>0.505</v>
      </c>
      <c r="AJ17" s="16">
        <v>0.499</v>
      </c>
      <c r="AK17" s="16">
        <v>0.374</v>
      </c>
      <c r="AL17" s="16">
        <v>0.40200000000000002</v>
      </c>
      <c r="AM17" s="16"/>
      <c r="AN17" s="17"/>
      <c r="AQ17" s="3">
        <v>0</v>
      </c>
      <c r="AR17" s="3">
        <f>AVERAGE(AE17:AF17)</f>
        <v>0.29099999999999998</v>
      </c>
      <c r="AS17" s="3">
        <f t="shared" si="1"/>
        <v>0.18149999999999999</v>
      </c>
      <c r="AT17" s="3">
        <f t="shared" ref="AT17:AT35" si="2">(AS17-0.0075)/0.0002</f>
        <v>869.99999999999989</v>
      </c>
      <c r="AU17" s="3">
        <f t="shared" ref="AU17:AU35" si="3">AT17*2</f>
        <v>1739.9999999999998</v>
      </c>
    </row>
    <row r="18" spans="2:47" x14ac:dyDescent="0.25">
      <c r="B18" s="11" t="s">
        <v>41</v>
      </c>
      <c r="C18" s="15">
        <v>0.23200000000000001</v>
      </c>
      <c r="D18" s="16">
        <v>0.193</v>
      </c>
      <c r="E18" s="16">
        <v>0.86399999999999999</v>
      </c>
      <c r="F18" s="16">
        <v>0.83699999999999997</v>
      </c>
      <c r="G18" s="16">
        <v>0.68400000000000005</v>
      </c>
      <c r="H18" s="16">
        <v>0.68400000000000005</v>
      </c>
      <c r="I18" s="16">
        <v>0.70299999999999996</v>
      </c>
      <c r="J18" s="16"/>
      <c r="K18" s="16"/>
      <c r="L18" s="16"/>
      <c r="M18" s="16"/>
      <c r="N18" s="17"/>
      <c r="AB18" s="11" t="s">
        <v>41</v>
      </c>
      <c r="AC18" s="15">
        <v>0.34300000000000003</v>
      </c>
      <c r="AD18" s="16">
        <v>0.33400000000000002</v>
      </c>
      <c r="AE18" s="16">
        <v>0.29599999999999999</v>
      </c>
      <c r="AF18" s="16">
        <v>0.29899999999999999</v>
      </c>
      <c r="AG18" s="16">
        <v>0.34799999999999998</v>
      </c>
      <c r="AH18" s="16">
        <v>0.33700000000000002</v>
      </c>
      <c r="AI18" s="16">
        <v>0.38500000000000001</v>
      </c>
      <c r="AJ18" s="16">
        <v>0.39100000000000001</v>
      </c>
      <c r="AK18" s="16">
        <v>7.3999999999999996E-2</v>
      </c>
      <c r="AL18" s="16"/>
      <c r="AM18" s="16"/>
      <c r="AN18" s="17"/>
      <c r="AQ18" s="3">
        <v>0</v>
      </c>
      <c r="AR18" s="3">
        <f t="shared" si="0"/>
        <v>0.29749999999999999</v>
      </c>
      <c r="AS18" s="3">
        <f t="shared" si="1"/>
        <v>0.188</v>
      </c>
      <c r="AT18" s="3">
        <f t="shared" si="2"/>
        <v>902.49999999999989</v>
      </c>
      <c r="AU18" s="3">
        <f t="shared" si="3"/>
        <v>1804.9999999999998</v>
      </c>
    </row>
    <row r="19" spans="2:47" x14ac:dyDescent="0.25">
      <c r="B19" s="11" t="s">
        <v>42</v>
      </c>
      <c r="C19" s="15">
        <v>0.106</v>
      </c>
      <c r="D19" s="16">
        <v>0.111</v>
      </c>
      <c r="E19" s="16">
        <v>0.81499999999999995</v>
      </c>
      <c r="F19" s="16">
        <v>0.79400000000000004</v>
      </c>
      <c r="G19" s="16">
        <v>0.70899999999999996</v>
      </c>
      <c r="H19" s="16">
        <v>0.79400000000000004</v>
      </c>
      <c r="I19" s="16">
        <v>0.72499999999999998</v>
      </c>
      <c r="J19" s="16"/>
      <c r="K19" s="16"/>
      <c r="L19" s="16"/>
      <c r="M19" s="16"/>
      <c r="N19" s="17"/>
      <c r="AB19" s="11" t="s">
        <v>42</v>
      </c>
      <c r="AC19" s="15">
        <v>0.28999999999999998</v>
      </c>
      <c r="AD19" s="16">
        <v>0.28399999999999997</v>
      </c>
      <c r="AE19" s="16">
        <v>0.29399999999999998</v>
      </c>
      <c r="AF19" s="16">
        <v>0.29299999999999998</v>
      </c>
      <c r="AG19" s="16">
        <v>0.32</v>
      </c>
      <c r="AH19" s="16">
        <v>0.32100000000000001</v>
      </c>
      <c r="AI19" s="16">
        <v>0.32</v>
      </c>
      <c r="AJ19" s="16">
        <v>0.32200000000000001</v>
      </c>
      <c r="AK19" s="16">
        <v>0.36</v>
      </c>
      <c r="AL19" s="16"/>
      <c r="AM19" s="16">
        <v>0.35799999999999998</v>
      </c>
      <c r="AN19" s="17">
        <v>0.32900000000000001</v>
      </c>
      <c r="AQ19" s="3">
        <v>0</v>
      </c>
      <c r="AR19" s="3">
        <f t="shared" si="0"/>
        <v>0.29349999999999998</v>
      </c>
      <c r="AS19" s="3">
        <f t="shared" si="1"/>
        <v>0.184</v>
      </c>
      <c r="AT19" s="3">
        <f t="shared" si="2"/>
        <v>882.49999999999989</v>
      </c>
      <c r="AU19" s="3">
        <f t="shared" si="3"/>
        <v>1764.9999999999998</v>
      </c>
    </row>
    <row r="20" spans="2:47" x14ac:dyDescent="0.25">
      <c r="B20" s="11" t="s">
        <v>43</v>
      </c>
      <c r="C20" s="15">
        <v>6.5000000000000002E-2</v>
      </c>
      <c r="D20" s="16">
        <v>7.4999999999999997E-2</v>
      </c>
      <c r="E20" s="16">
        <v>0.878</v>
      </c>
      <c r="F20" s="16">
        <v>0.91100000000000003</v>
      </c>
      <c r="G20" s="16">
        <v>0.69699999999999995</v>
      </c>
      <c r="H20" s="16">
        <v>0.754</v>
      </c>
      <c r="I20" s="16"/>
      <c r="J20" s="16"/>
      <c r="K20" s="16"/>
      <c r="L20" s="16"/>
      <c r="M20" s="16"/>
      <c r="N20" s="17"/>
      <c r="AB20" s="11" t="s">
        <v>43</v>
      </c>
      <c r="AC20" s="15">
        <v>0.23699999999999999</v>
      </c>
      <c r="AD20" s="16">
        <v>0.22900000000000001</v>
      </c>
      <c r="AE20" s="16">
        <v>0.317</v>
      </c>
      <c r="AF20" s="16">
        <v>0.318</v>
      </c>
      <c r="AG20" s="16">
        <v>0.30399999999999999</v>
      </c>
      <c r="AH20" s="16">
        <v>0.309</v>
      </c>
      <c r="AI20" s="16">
        <v>0.245</v>
      </c>
      <c r="AJ20" s="16">
        <v>0.245</v>
      </c>
      <c r="AK20" s="16">
        <v>0.32600000000000001</v>
      </c>
      <c r="AL20" s="16"/>
      <c r="AM20" s="16">
        <v>0.33</v>
      </c>
      <c r="AN20" s="17">
        <v>0.32500000000000001</v>
      </c>
      <c r="AQ20" s="3">
        <v>0</v>
      </c>
      <c r="AR20" s="3">
        <f t="shared" si="0"/>
        <v>0.3175</v>
      </c>
      <c r="AS20" s="3">
        <f t="shared" si="1"/>
        <v>0.20800000000000002</v>
      </c>
      <c r="AT20" s="3">
        <f t="shared" si="2"/>
        <v>1002.5</v>
      </c>
      <c r="AU20" s="3">
        <f t="shared" si="3"/>
        <v>2005</v>
      </c>
    </row>
    <row r="21" spans="2:47" x14ac:dyDescent="0.25">
      <c r="B21" s="11" t="s">
        <v>44</v>
      </c>
      <c r="C21" s="15">
        <v>7.2999999999999995E-2</v>
      </c>
      <c r="D21" s="16">
        <v>5.8000000000000003E-2</v>
      </c>
      <c r="E21" s="16">
        <v>0.89200000000000002</v>
      </c>
      <c r="F21" s="16">
        <v>0.998</v>
      </c>
      <c r="G21" s="16">
        <v>0.77200000000000002</v>
      </c>
      <c r="H21" s="16">
        <v>0.80400000000000005</v>
      </c>
      <c r="I21" s="16"/>
      <c r="J21" s="16"/>
      <c r="K21" s="16"/>
      <c r="L21" s="16"/>
      <c r="M21" s="16"/>
      <c r="N21" s="17"/>
      <c r="AB21" s="11" t="s">
        <v>44</v>
      </c>
      <c r="AC21" s="15">
        <v>0.17699999999999999</v>
      </c>
      <c r="AD21" s="16">
        <v>0.17299999999999999</v>
      </c>
      <c r="AE21" s="16">
        <v>0.32</v>
      </c>
      <c r="AF21" s="16">
        <v>0.318</v>
      </c>
      <c r="AG21" s="16">
        <v>0.31900000000000001</v>
      </c>
      <c r="AH21" s="16">
        <v>0.312</v>
      </c>
      <c r="AI21" s="16">
        <v>0.17</v>
      </c>
      <c r="AJ21" s="16">
        <v>0.17</v>
      </c>
      <c r="AK21" s="16">
        <v>0.435</v>
      </c>
      <c r="AL21" s="16"/>
      <c r="AM21" s="16">
        <v>0.35299999999999998</v>
      </c>
      <c r="AN21" s="17">
        <v>0.34599999999999997</v>
      </c>
      <c r="AQ21" s="3">
        <v>10</v>
      </c>
      <c r="AR21" s="3">
        <f t="shared" si="0"/>
        <v>0.31900000000000001</v>
      </c>
      <c r="AS21" s="3">
        <f t="shared" si="1"/>
        <v>0.20950000000000002</v>
      </c>
      <c r="AT21" s="3">
        <f t="shared" si="2"/>
        <v>1010</v>
      </c>
      <c r="AU21" s="3">
        <f t="shared" si="3"/>
        <v>2020</v>
      </c>
    </row>
    <row r="22" spans="2:47" x14ac:dyDescent="0.25">
      <c r="B22" s="11" t="s">
        <v>45</v>
      </c>
      <c r="C22" s="15">
        <v>0.95</v>
      </c>
      <c r="D22" s="16">
        <v>0.84599999999999997</v>
      </c>
      <c r="E22" s="16">
        <v>0.78900000000000003</v>
      </c>
      <c r="F22" s="16">
        <v>0.73599999999999999</v>
      </c>
      <c r="G22" s="16">
        <v>0.73899999999999999</v>
      </c>
      <c r="H22" s="16">
        <v>0.871</v>
      </c>
      <c r="I22" s="16"/>
      <c r="J22" s="16"/>
      <c r="K22" s="16"/>
      <c r="L22" s="16"/>
      <c r="M22" s="16"/>
      <c r="N22" s="17"/>
      <c r="AB22" s="11" t="s">
        <v>45</v>
      </c>
      <c r="AC22" s="15">
        <v>0.14399999999999999</v>
      </c>
      <c r="AD22" s="16">
        <v>0.14399999999999999</v>
      </c>
      <c r="AE22" s="16">
        <v>0.33700000000000002</v>
      </c>
      <c r="AF22" s="16">
        <v>0.33</v>
      </c>
      <c r="AG22" s="16">
        <v>0.315</v>
      </c>
      <c r="AH22" s="16">
        <v>0.33100000000000002</v>
      </c>
      <c r="AI22" s="16">
        <v>0.129</v>
      </c>
      <c r="AJ22" s="16">
        <v>0.127</v>
      </c>
      <c r="AK22" s="16">
        <v>0.42699999999999999</v>
      </c>
      <c r="AL22" s="16"/>
      <c r="AM22" s="16">
        <v>0.34200000000000003</v>
      </c>
      <c r="AN22" s="17">
        <v>0.34300000000000003</v>
      </c>
      <c r="AQ22" s="3">
        <v>10</v>
      </c>
      <c r="AR22" s="3">
        <f t="shared" si="0"/>
        <v>0.33350000000000002</v>
      </c>
      <c r="AS22" s="3">
        <f t="shared" si="1"/>
        <v>0.22400000000000003</v>
      </c>
      <c r="AT22" s="3">
        <f t="shared" si="2"/>
        <v>1082.5</v>
      </c>
      <c r="AU22" s="3">
        <f t="shared" si="3"/>
        <v>2165</v>
      </c>
    </row>
    <row r="23" spans="2:47" x14ac:dyDescent="0.25">
      <c r="B23" s="11" t="s">
        <v>46</v>
      </c>
      <c r="C23" s="18">
        <v>0.91300000000000003</v>
      </c>
      <c r="D23" s="19">
        <v>0.78200000000000003</v>
      </c>
      <c r="E23" s="19">
        <v>0.83399999999999996</v>
      </c>
      <c r="F23" s="19">
        <v>0.82299999999999995</v>
      </c>
      <c r="G23" s="19">
        <v>0.73099999999999998</v>
      </c>
      <c r="H23" s="19">
        <v>0.77500000000000002</v>
      </c>
      <c r="I23" s="19"/>
      <c r="J23" s="19"/>
      <c r="K23" s="19"/>
      <c r="L23" s="19"/>
      <c r="M23" s="19"/>
      <c r="N23" s="20"/>
      <c r="T23" s="1" t="s">
        <v>133</v>
      </c>
      <c r="AB23" s="11" t="s">
        <v>46</v>
      </c>
      <c r="AC23" s="18">
        <v>0.11700000000000001</v>
      </c>
      <c r="AD23" s="19">
        <v>0.11600000000000001</v>
      </c>
      <c r="AE23" s="19">
        <v>0.32900000000000001</v>
      </c>
      <c r="AF23" s="19">
        <v>0.32700000000000001</v>
      </c>
      <c r="AG23" s="19">
        <v>0.109</v>
      </c>
      <c r="AH23" s="19">
        <v>0.11</v>
      </c>
      <c r="AI23" s="19">
        <v>9.9000000000000005E-2</v>
      </c>
      <c r="AJ23" s="19">
        <v>9.9000000000000005E-2</v>
      </c>
      <c r="AK23" s="19">
        <v>0.48499999999999999</v>
      </c>
      <c r="AL23" s="19"/>
      <c r="AM23" s="19">
        <v>0.34300000000000003</v>
      </c>
      <c r="AN23" s="20">
        <v>0.33900000000000002</v>
      </c>
      <c r="AQ23" s="3">
        <v>10</v>
      </c>
      <c r="AR23" s="3">
        <f t="shared" si="0"/>
        <v>0.32800000000000001</v>
      </c>
      <c r="AS23" s="3">
        <f t="shared" si="1"/>
        <v>0.21850000000000003</v>
      </c>
      <c r="AT23" s="3">
        <f t="shared" si="2"/>
        <v>1055</v>
      </c>
      <c r="AU23" s="3">
        <f t="shared" si="3"/>
        <v>2110</v>
      </c>
    </row>
    <row r="24" spans="2:47" x14ac:dyDescent="0.25">
      <c r="P24" s="11" t="s">
        <v>129</v>
      </c>
      <c r="Q24" s="11" t="s">
        <v>47</v>
      </c>
      <c r="R24" s="11" t="s">
        <v>130</v>
      </c>
      <c r="S24" s="11" t="s">
        <v>134</v>
      </c>
      <c r="T24" s="11" t="s">
        <v>135</v>
      </c>
      <c r="U24" s="11" t="s">
        <v>136</v>
      </c>
      <c r="V24" s="11" t="s">
        <v>137</v>
      </c>
      <c r="W24" s="11" t="s">
        <v>138</v>
      </c>
      <c r="Y24" s="11" t="s">
        <v>6</v>
      </c>
      <c r="AQ24" s="3">
        <v>10</v>
      </c>
      <c r="AR24" s="3">
        <f t="shared" ref="AR24:AR30" si="4">AVERAGE(AG16:AH16)</f>
        <v>0.316</v>
      </c>
      <c r="AS24" s="3">
        <f t="shared" si="1"/>
        <v>0.20650000000000002</v>
      </c>
      <c r="AT24" s="3">
        <f t="shared" si="2"/>
        <v>995</v>
      </c>
      <c r="AU24" s="3">
        <f t="shared" si="3"/>
        <v>1990</v>
      </c>
    </row>
    <row r="25" spans="2:47" x14ac:dyDescent="0.25">
      <c r="C25" t="s">
        <v>135</v>
      </c>
      <c r="P25" s="3">
        <v>0</v>
      </c>
      <c r="Q25">
        <f>AVERAGE(C22:D22)</f>
        <v>0.89799999999999991</v>
      </c>
      <c r="R25">
        <f>Q25-$D$31</f>
        <v>0.83249999999999991</v>
      </c>
      <c r="S25">
        <f>(R25+0.0249)/0.0607</f>
        <v>14.125205930807249</v>
      </c>
      <c r="T25">
        <f>S25*30</f>
        <v>423.75617792421747</v>
      </c>
      <c r="U25">
        <v>1724.9999999999998</v>
      </c>
      <c r="V25">
        <f>T25/U25</f>
        <v>0.24565575531838696</v>
      </c>
      <c r="W25">
        <f>(V25/$Y$25)*100</f>
        <v>110.99819553277273</v>
      </c>
      <c r="Y25">
        <f>AVERAGE(V25:V29)</f>
        <v>0.22131508907805258</v>
      </c>
      <c r="AC25" s="1" t="s">
        <v>132</v>
      </c>
      <c r="AD25" s="1" t="s">
        <v>47</v>
      </c>
      <c r="AE25" s="1" t="s">
        <v>48</v>
      </c>
      <c r="AQ25" s="3">
        <v>10</v>
      </c>
      <c r="AR25" s="3">
        <f t="shared" si="4"/>
        <v>0.309</v>
      </c>
      <c r="AS25" s="3">
        <f t="shared" si="1"/>
        <v>0.19950000000000001</v>
      </c>
      <c r="AT25" s="3">
        <f t="shared" si="2"/>
        <v>960</v>
      </c>
      <c r="AU25" s="3">
        <f t="shared" si="3"/>
        <v>1920</v>
      </c>
    </row>
    <row r="26" spans="2:47" x14ac:dyDescent="0.25">
      <c r="C26" s="23">
        <v>10</v>
      </c>
      <c r="D26">
        <f>AVERAGE(C16:D16)</f>
        <v>0.64450000000000007</v>
      </c>
      <c r="E26">
        <f>D26-$C$20</f>
        <v>0.57950000000000013</v>
      </c>
      <c r="P26" s="3">
        <v>0</v>
      </c>
      <c r="Q26">
        <f>AVERAGE(C23:D23)</f>
        <v>0.84750000000000003</v>
      </c>
      <c r="R26">
        <f t="shared" ref="R26:R44" si="5">Q26-$D$31</f>
        <v>0.78200000000000003</v>
      </c>
      <c r="S26">
        <f t="shared" ref="S26:S44" si="6">(R26+0.0249)/0.0607</f>
        <v>13.293245469522242</v>
      </c>
      <c r="T26">
        <f t="shared" ref="T26:T44" si="7">S26*30</f>
        <v>398.79736408566725</v>
      </c>
      <c r="U26">
        <v>1739.9999999999998</v>
      </c>
      <c r="V26">
        <f t="shared" ref="V26:V44" si="8">T26/U26</f>
        <v>0.22919388740555593</v>
      </c>
      <c r="W26">
        <f t="shared" ref="W26:W44" si="9">(V26/$Y$25)*100</f>
        <v>103.55999148558944</v>
      </c>
      <c r="AC26">
        <v>2000</v>
      </c>
      <c r="AD26">
        <f t="shared" ref="AD26:AD33" si="10">AVERAGE(AC16:AD16)</f>
        <v>0.5605</v>
      </c>
      <c r="AE26">
        <f>AD26-0.1095</f>
        <v>0.45100000000000001</v>
      </c>
      <c r="AQ26" s="3">
        <v>50</v>
      </c>
      <c r="AR26" s="3">
        <f t="shared" si="4"/>
        <v>0.34250000000000003</v>
      </c>
      <c r="AS26" s="3">
        <f t="shared" si="1"/>
        <v>0.23300000000000004</v>
      </c>
      <c r="AT26" s="3">
        <f t="shared" si="2"/>
        <v>1127.5000000000002</v>
      </c>
      <c r="AU26" s="3">
        <f t="shared" si="3"/>
        <v>2255.0000000000005</v>
      </c>
    </row>
    <row r="27" spans="2:47" x14ac:dyDescent="0.25">
      <c r="C27" s="23"/>
      <c r="D27">
        <f t="shared" ref="D27:D30" si="11">AVERAGE(C17:D17)</f>
        <v>0.39500000000000002</v>
      </c>
      <c r="P27" s="3">
        <v>0</v>
      </c>
      <c r="Q27">
        <f>AVERAGE(E16:F16)</f>
        <v>0.88650000000000007</v>
      </c>
      <c r="R27">
        <f t="shared" si="5"/>
        <v>0.82100000000000006</v>
      </c>
      <c r="S27">
        <f t="shared" si="6"/>
        <v>13.935749588138387</v>
      </c>
      <c r="T27">
        <f t="shared" si="7"/>
        <v>418.07248764415164</v>
      </c>
      <c r="U27">
        <v>1804.9999999999998</v>
      </c>
      <c r="V27">
        <f t="shared" si="8"/>
        <v>0.23161910672806188</v>
      </c>
      <c r="W27">
        <f t="shared" si="9"/>
        <v>104.65581343456221</v>
      </c>
      <c r="AD27">
        <f t="shared" si="10"/>
        <v>0.43000000000000005</v>
      </c>
      <c r="AQ27" s="3">
        <v>50</v>
      </c>
      <c r="AR27" s="3">
        <f t="shared" si="4"/>
        <v>0.32050000000000001</v>
      </c>
      <c r="AS27" s="3">
        <f t="shared" si="1"/>
        <v>0.21100000000000002</v>
      </c>
      <c r="AT27" s="3">
        <f t="shared" si="2"/>
        <v>1017.5</v>
      </c>
      <c r="AU27" s="3">
        <f t="shared" si="3"/>
        <v>2035</v>
      </c>
    </row>
    <row r="28" spans="2:47" x14ac:dyDescent="0.25">
      <c r="C28" s="23">
        <v>2.5</v>
      </c>
      <c r="D28">
        <f t="shared" si="11"/>
        <v>0.21250000000000002</v>
      </c>
      <c r="E28">
        <f t="shared" ref="E28:E30" si="12">D28-$C$20</f>
        <v>0.14750000000000002</v>
      </c>
      <c r="P28" s="3">
        <v>0</v>
      </c>
      <c r="Q28">
        <f t="shared" ref="Q28:Q33" si="13">AVERAGE(E17:F17)</f>
        <v>0.75649999999999995</v>
      </c>
      <c r="R28">
        <f t="shared" si="5"/>
        <v>0.69099999999999995</v>
      </c>
      <c r="S28">
        <f t="shared" si="6"/>
        <v>11.794069192751236</v>
      </c>
      <c r="T28">
        <f t="shared" si="7"/>
        <v>353.82207578253707</v>
      </c>
      <c r="U28">
        <v>1764.9999999999998</v>
      </c>
      <c r="V28">
        <f t="shared" si="8"/>
        <v>0.20046576531588506</v>
      </c>
      <c r="W28">
        <f t="shared" si="9"/>
        <v>90.579348272627513</v>
      </c>
      <c r="AC28">
        <v>1000</v>
      </c>
      <c r="AD28">
        <f t="shared" si="10"/>
        <v>0.33850000000000002</v>
      </c>
      <c r="AE28">
        <f t="shared" ref="AE28:AE33" si="14">AD28-0.1095</f>
        <v>0.22900000000000004</v>
      </c>
      <c r="AQ28" s="3">
        <v>50</v>
      </c>
      <c r="AR28" s="3">
        <f t="shared" si="4"/>
        <v>0.30649999999999999</v>
      </c>
      <c r="AS28" s="3">
        <f t="shared" si="1"/>
        <v>0.19700000000000001</v>
      </c>
      <c r="AT28" s="3">
        <f t="shared" si="2"/>
        <v>947.5</v>
      </c>
      <c r="AU28" s="3">
        <f t="shared" si="3"/>
        <v>1895</v>
      </c>
    </row>
    <row r="29" spans="2:47" x14ac:dyDescent="0.25">
      <c r="C29" s="23">
        <v>1.25</v>
      </c>
      <c r="D29">
        <f t="shared" si="11"/>
        <v>0.1085</v>
      </c>
      <c r="E29">
        <f t="shared" si="12"/>
        <v>4.3499999999999997E-2</v>
      </c>
      <c r="P29" s="3">
        <v>0</v>
      </c>
      <c r="Q29">
        <f t="shared" si="13"/>
        <v>0.85050000000000003</v>
      </c>
      <c r="R29">
        <f t="shared" si="5"/>
        <v>0.78500000000000003</v>
      </c>
      <c r="S29">
        <f t="shared" si="6"/>
        <v>13.342668863261945</v>
      </c>
      <c r="T29">
        <f t="shared" si="7"/>
        <v>400.28006589785838</v>
      </c>
      <c r="U29">
        <v>2005</v>
      </c>
      <c r="V29">
        <f t="shared" si="8"/>
        <v>0.19964093062237326</v>
      </c>
      <c r="W29">
        <f t="shared" si="9"/>
        <v>90.206651274448177</v>
      </c>
      <c r="AC29">
        <v>750</v>
      </c>
      <c r="AD29">
        <f t="shared" si="10"/>
        <v>0.28699999999999998</v>
      </c>
      <c r="AE29">
        <f t="shared" si="14"/>
        <v>0.17749999999999999</v>
      </c>
      <c r="AQ29" s="3">
        <v>50</v>
      </c>
      <c r="AR29" s="3">
        <f t="shared" si="4"/>
        <v>0.3155</v>
      </c>
      <c r="AS29" s="3">
        <f t="shared" si="1"/>
        <v>0.20600000000000002</v>
      </c>
      <c r="AT29" s="3">
        <f t="shared" si="2"/>
        <v>992.5</v>
      </c>
      <c r="AU29" s="3">
        <f t="shared" si="3"/>
        <v>1985</v>
      </c>
    </row>
    <row r="30" spans="2:47" x14ac:dyDescent="0.25">
      <c r="C30" s="23">
        <v>0.625</v>
      </c>
      <c r="D30">
        <f t="shared" si="11"/>
        <v>7.0000000000000007E-2</v>
      </c>
      <c r="E30">
        <f t="shared" si="12"/>
        <v>5.0000000000000044E-3</v>
      </c>
      <c r="P30" s="3">
        <v>10</v>
      </c>
      <c r="Q30">
        <f t="shared" si="13"/>
        <v>0.80449999999999999</v>
      </c>
      <c r="R30">
        <f t="shared" si="5"/>
        <v>0.73899999999999999</v>
      </c>
      <c r="S30">
        <f t="shared" si="6"/>
        <v>12.584843492586492</v>
      </c>
      <c r="T30">
        <f t="shared" si="7"/>
        <v>377.54530477759477</v>
      </c>
      <c r="U30">
        <v>2020</v>
      </c>
      <c r="V30">
        <f t="shared" si="8"/>
        <v>0.18690361622653207</v>
      </c>
      <c r="W30">
        <f t="shared" si="9"/>
        <v>84.45136615181967</v>
      </c>
      <c r="AC30">
        <v>500</v>
      </c>
      <c r="AD30">
        <f t="shared" si="10"/>
        <v>0.23299999999999998</v>
      </c>
      <c r="AE30">
        <f t="shared" si="14"/>
        <v>0.12349999999999998</v>
      </c>
      <c r="AQ30" s="3">
        <v>50</v>
      </c>
      <c r="AR30" s="3">
        <f t="shared" si="4"/>
        <v>0.32300000000000001</v>
      </c>
      <c r="AS30" s="3">
        <f t="shared" si="1"/>
        <v>0.21350000000000002</v>
      </c>
      <c r="AT30" s="3">
        <f t="shared" si="2"/>
        <v>1030</v>
      </c>
      <c r="AU30" s="3">
        <f t="shared" si="3"/>
        <v>2060</v>
      </c>
    </row>
    <row r="31" spans="2:47" x14ac:dyDescent="0.25">
      <c r="C31" s="23">
        <v>0</v>
      </c>
      <c r="D31">
        <f>AVERAGE(C21:D21)</f>
        <v>6.5500000000000003E-2</v>
      </c>
      <c r="P31" s="3">
        <v>10</v>
      </c>
      <c r="Q31">
        <f t="shared" si="13"/>
        <v>0.89450000000000007</v>
      </c>
      <c r="R31">
        <f t="shared" si="5"/>
        <v>0.82900000000000007</v>
      </c>
      <c r="S31">
        <f t="shared" si="6"/>
        <v>14.067545304777598</v>
      </c>
      <c r="T31">
        <f t="shared" si="7"/>
        <v>422.02635914332791</v>
      </c>
      <c r="U31">
        <v>2165</v>
      </c>
      <c r="V31">
        <f t="shared" si="8"/>
        <v>0.19493134371516302</v>
      </c>
      <c r="W31">
        <f t="shared" si="9"/>
        <v>88.078650455873515</v>
      </c>
      <c r="AC31">
        <v>250</v>
      </c>
      <c r="AD31">
        <f t="shared" si="10"/>
        <v>0.17499999999999999</v>
      </c>
      <c r="AE31">
        <f t="shared" si="14"/>
        <v>6.5499999999999989E-2</v>
      </c>
      <c r="AQ31" s="3">
        <v>500</v>
      </c>
      <c r="AR31" s="3">
        <f>AVERAGE(AM19:AN19)</f>
        <v>0.34350000000000003</v>
      </c>
      <c r="AS31" s="3">
        <f t="shared" si="1"/>
        <v>0.23400000000000004</v>
      </c>
      <c r="AT31" s="3">
        <f t="shared" si="2"/>
        <v>1132.5000000000002</v>
      </c>
      <c r="AU31" s="3">
        <f t="shared" si="3"/>
        <v>2265.0000000000005</v>
      </c>
    </row>
    <row r="32" spans="2:47" x14ac:dyDescent="0.25">
      <c r="P32" s="3">
        <v>10</v>
      </c>
      <c r="Q32">
        <f t="shared" si="13"/>
        <v>0.94500000000000006</v>
      </c>
      <c r="R32">
        <f t="shared" si="5"/>
        <v>0.87950000000000006</v>
      </c>
      <c r="S32">
        <f t="shared" si="6"/>
        <v>14.899505766062605</v>
      </c>
      <c r="T32">
        <f t="shared" si="7"/>
        <v>446.98517298187812</v>
      </c>
      <c r="U32">
        <v>2110</v>
      </c>
      <c r="V32">
        <f t="shared" si="8"/>
        <v>0.2118413142094209</v>
      </c>
      <c r="W32">
        <f t="shared" si="9"/>
        <v>95.719327178233868</v>
      </c>
      <c r="AC32">
        <v>125</v>
      </c>
      <c r="AD32">
        <f t="shared" si="10"/>
        <v>0.14399999999999999</v>
      </c>
      <c r="AE32">
        <f t="shared" si="14"/>
        <v>3.4499999999999989E-2</v>
      </c>
      <c r="AQ32" s="3">
        <v>500</v>
      </c>
      <c r="AR32" s="3">
        <f>AVERAGE(AM20:AN20)</f>
        <v>0.32750000000000001</v>
      </c>
      <c r="AS32" s="3">
        <f t="shared" si="1"/>
        <v>0.21800000000000003</v>
      </c>
      <c r="AT32" s="3">
        <f t="shared" si="2"/>
        <v>1052.5</v>
      </c>
      <c r="AU32" s="3">
        <f t="shared" si="3"/>
        <v>2105</v>
      </c>
    </row>
    <row r="33" spans="16:47" x14ac:dyDescent="0.25">
      <c r="P33" s="3">
        <v>10</v>
      </c>
      <c r="Q33">
        <f t="shared" si="13"/>
        <v>0.76249999999999996</v>
      </c>
      <c r="R33">
        <f t="shared" si="5"/>
        <v>0.69699999999999995</v>
      </c>
      <c r="S33">
        <f t="shared" si="6"/>
        <v>11.892915980230644</v>
      </c>
      <c r="T33">
        <f t="shared" si="7"/>
        <v>356.78747940691932</v>
      </c>
      <c r="U33">
        <v>1990</v>
      </c>
      <c r="V33">
        <f t="shared" si="8"/>
        <v>0.17929019065674337</v>
      </c>
      <c r="W33">
        <f t="shared" si="9"/>
        <v>81.011281880338473</v>
      </c>
      <c r="AC33">
        <v>25</v>
      </c>
      <c r="AD33">
        <f t="shared" si="10"/>
        <v>0.11650000000000001</v>
      </c>
      <c r="AE33">
        <f t="shared" si="14"/>
        <v>7.0000000000000062E-3</v>
      </c>
      <c r="AQ33" s="3">
        <v>500</v>
      </c>
      <c r="AR33" s="3">
        <f>AVERAGE(AM21:AN21)</f>
        <v>0.34949999999999998</v>
      </c>
      <c r="AS33" s="3">
        <f t="shared" si="1"/>
        <v>0.24</v>
      </c>
      <c r="AT33" s="3">
        <f t="shared" si="2"/>
        <v>1162.4999999999998</v>
      </c>
      <c r="AU33" s="3">
        <f t="shared" si="3"/>
        <v>2324.9999999999995</v>
      </c>
    </row>
    <row r="34" spans="16:47" x14ac:dyDescent="0.25">
      <c r="P34" s="3">
        <v>10</v>
      </c>
      <c r="Q34">
        <f>AVERAGE(E23:F23)</f>
        <v>0.82850000000000001</v>
      </c>
      <c r="R34">
        <f t="shared" si="5"/>
        <v>0.76300000000000001</v>
      </c>
      <c r="S34">
        <f t="shared" si="6"/>
        <v>12.98023064250412</v>
      </c>
      <c r="T34">
        <f t="shared" si="7"/>
        <v>389.40691927512358</v>
      </c>
      <c r="U34">
        <v>1920</v>
      </c>
      <c r="V34">
        <f t="shared" si="8"/>
        <v>0.20281610378912687</v>
      </c>
      <c r="W34">
        <f t="shared" si="9"/>
        <v>91.641335723656169</v>
      </c>
      <c r="AQ34" s="3">
        <v>500</v>
      </c>
      <c r="AR34" s="3">
        <f>AVERAGE(AM22:AN22)</f>
        <v>0.34250000000000003</v>
      </c>
      <c r="AS34" s="3">
        <f t="shared" si="1"/>
        <v>0.23300000000000004</v>
      </c>
      <c r="AT34" s="3">
        <f t="shared" si="2"/>
        <v>1127.5000000000002</v>
      </c>
      <c r="AU34" s="3">
        <f t="shared" si="3"/>
        <v>2255.0000000000005</v>
      </c>
    </row>
    <row r="35" spans="16:47" x14ac:dyDescent="0.25">
      <c r="P35" s="3">
        <v>50</v>
      </c>
      <c r="Q35">
        <f>AVERAGE(G16:H16)</f>
        <v>0.8135</v>
      </c>
      <c r="R35">
        <f t="shared" si="5"/>
        <v>0.748</v>
      </c>
      <c r="S35">
        <f t="shared" si="6"/>
        <v>12.733113673805603</v>
      </c>
      <c r="T35">
        <f t="shared" si="7"/>
        <v>381.99341021416808</v>
      </c>
      <c r="U35">
        <v>2255.0000000000005</v>
      </c>
      <c r="V35">
        <f t="shared" si="8"/>
        <v>0.16939840807723636</v>
      </c>
      <c r="W35">
        <f t="shared" si="9"/>
        <v>76.541734584347992</v>
      </c>
      <c r="AQ35" s="3">
        <v>500</v>
      </c>
      <c r="AR35" s="3">
        <f>AVERAGE(AM23:AN23)</f>
        <v>0.34100000000000003</v>
      </c>
      <c r="AS35" s="3">
        <f t="shared" si="1"/>
        <v>0.23150000000000004</v>
      </c>
      <c r="AT35" s="3">
        <f t="shared" si="2"/>
        <v>1120</v>
      </c>
      <c r="AU35" s="3">
        <f t="shared" si="3"/>
        <v>2240</v>
      </c>
    </row>
    <row r="36" spans="16:47" x14ac:dyDescent="0.25">
      <c r="P36" s="3">
        <v>50</v>
      </c>
      <c r="Q36">
        <f t="shared" ref="Q36:Q39" si="15">AVERAGE(G17:H17)</f>
        <v>0.71799999999999997</v>
      </c>
      <c r="R36">
        <f t="shared" si="5"/>
        <v>0.65249999999999997</v>
      </c>
      <c r="S36">
        <f t="shared" si="6"/>
        <v>11.159802306425041</v>
      </c>
      <c r="T36">
        <f t="shared" si="7"/>
        <v>334.79406919275124</v>
      </c>
      <c r="U36">
        <v>2035</v>
      </c>
      <c r="V36">
        <f t="shared" si="8"/>
        <v>0.16451797011928807</v>
      </c>
      <c r="W36">
        <f t="shared" si="9"/>
        <v>74.33653566263007</v>
      </c>
    </row>
    <row r="37" spans="16:47" x14ac:dyDescent="0.25">
      <c r="P37" s="3">
        <v>50</v>
      </c>
      <c r="Q37">
        <f t="shared" si="15"/>
        <v>0.68400000000000005</v>
      </c>
      <c r="R37">
        <f t="shared" si="5"/>
        <v>0.61850000000000005</v>
      </c>
      <c r="S37">
        <f t="shared" si="6"/>
        <v>10.599670510708403</v>
      </c>
      <c r="T37">
        <f t="shared" si="7"/>
        <v>317.99011532125212</v>
      </c>
      <c r="U37">
        <v>1895</v>
      </c>
      <c r="V37">
        <f t="shared" si="8"/>
        <v>0.1678048101959114</v>
      </c>
      <c r="W37">
        <f t="shared" si="9"/>
        <v>75.821676187984906</v>
      </c>
    </row>
    <row r="38" spans="16:47" x14ac:dyDescent="0.25">
      <c r="P38" s="3">
        <v>50</v>
      </c>
      <c r="Q38">
        <f t="shared" si="15"/>
        <v>0.75150000000000006</v>
      </c>
      <c r="R38">
        <f t="shared" si="5"/>
        <v>0.68600000000000005</v>
      </c>
      <c r="S38">
        <f t="shared" si="6"/>
        <v>11.711696869851732</v>
      </c>
      <c r="T38">
        <f t="shared" si="7"/>
        <v>351.35090609555198</v>
      </c>
      <c r="U38">
        <v>1985</v>
      </c>
      <c r="V38">
        <f t="shared" si="8"/>
        <v>0.17700297536299847</v>
      </c>
      <c r="W38">
        <f t="shared" si="9"/>
        <v>79.977816289143178</v>
      </c>
    </row>
    <row r="39" spans="16:47" x14ac:dyDescent="0.25">
      <c r="P39" s="3">
        <v>50</v>
      </c>
      <c r="Q39">
        <f t="shared" si="15"/>
        <v>0.72550000000000003</v>
      </c>
      <c r="R39">
        <f t="shared" si="5"/>
        <v>0.66</v>
      </c>
      <c r="S39">
        <f t="shared" si="6"/>
        <v>11.283360790774301</v>
      </c>
      <c r="T39">
        <f t="shared" si="7"/>
        <v>338.50082372322902</v>
      </c>
      <c r="U39">
        <v>2060</v>
      </c>
      <c r="V39">
        <f t="shared" si="8"/>
        <v>0.16432078821515972</v>
      </c>
      <c r="W39">
        <f t="shared" si="9"/>
        <v>74.247440108888227</v>
      </c>
    </row>
    <row r="40" spans="16:47" x14ac:dyDescent="0.25">
      <c r="P40" s="3">
        <v>500</v>
      </c>
      <c r="Q40">
        <f>AVERAGE(G21:H21)</f>
        <v>0.78800000000000003</v>
      </c>
      <c r="R40">
        <f t="shared" si="5"/>
        <v>0.72250000000000003</v>
      </c>
      <c r="S40">
        <f t="shared" si="6"/>
        <v>12.313014827018124</v>
      </c>
      <c r="T40">
        <f t="shared" si="7"/>
        <v>369.39044481054373</v>
      </c>
      <c r="U40">
        <v>2265.0000000000005</v>
      </c>
      <c r="V40">
        <f t="shared" si="8"/>
        <v>0.16308628909957776</v>
      </c>
      <c r="W40">
        <f t="shared" si="9"/>
        <v>73.689638505425677</v>
      </c>
    </row>
    <row r="41" spans="16:47" x14ac:dyDescent="0.25">
      <c r="P41" s="3">
        <v>500</v>
      </c>
      <c r="Q41">
        <f t="shared" ref="Q41" si="16">AVERAGE(G22:H22)</f>
        <v>0.80499999999999994</v>
      </c>
      <c r="R41">
        <f t="shared" si="5"/>
        <v>0.73949999999999994</v>
      </c>
      <c r="S41">
        <f t="shared" si="6"/>
        <v>12.593080724876442</v>
      </c>
      <c r="T41">
        <f t="shared" si="7"/>
        <v>377.79242174629326</v>
      </c>
      <c r="U41">
        <v>2105</v>
      </c>
      <c r="V41">
        <f t="shared" si="8"/>
        <v>0.17947383455880914</v>
      </c>
      <c r="W41">
        <f t="shared" si="9"/>
        <v>81.094260362660123</v>
      </c>
    </row>
    <row r="42" spans="16:47" x14ac:dyDescent="0.25">
      <c r="P42" s="3">
        <v>500</v>
      </c>
      <c r="Q42">
        <f>AVERAGE(G23:H23)</f>
        <v>0.753</v>
      </c>
      <c r="R42">
        <f t="shared" si="5"/>
        <v>0.6875</v>
      </c>
      <c r="S42">
        <f t="shared" si="6"/>
        <v>11.736408566721583</v>
      </c>
      <c r="T42">
        <f t="shared" si="7"/>
        <v>352.09225700164745</v>
      </c>
      <c r="U42">
        <v>2324.9999999999995</v>
      </c>
      <c r="V42">
        <f t="shared" si="8"/>
        <v>0.15143752989318174</v>
      </c>
      <c r="W42">
        <f t="shared" si="9"/>
        <v>68.426211029729345</v>
      </c>
    </row>
    <row r="43" spans="16:47" x14ac:dyDescent="0.25">
      <c r="P43" s="3">
        <v>500</v>
      </c>
      <c r="Q43">
        <f>AVERAGE(I16:I17)</f>
        <v>0.77400000000000002</v>
      </c>
      <c r="R43">
        <f t="shared" si="5"/>
        <v>0.70850000000000002</v>
      </c>
      <c r="S43">
        <f t="shared" si="6"/>
        <v>12.082372322899507</v>
      </c>
      <c r="T43">
        <f t="shared" si="7"/>
        <v>362.47116968698521</v>
      </c>
      <c r="U43">
        <v>2255.0000000000005</v>
      </c>
      <c r="V43">
        <f t="shared" si="8"/>
        <v>0.16074109520487145</v>
      </c>
      <c r="W43">
        <f t="shared" si="9"/>
        <v>72.629975603779044</v>
      </c>
    </row>
    <row r="44" spans="16:47" x14ac:dyDescent="0.25">
      <c r="P44" s="3">
        <v>500</v>
      </c>
      <c r="Q44">
        <f>AVERAGE(I18:I19)</f>
        <v>0.71399999999999997</v>
      </c>
      <c r="R44">
        <f t="shared" si="5"/>
        <v>0.64849999999999997</v>
      </c>
      <c r="S44">
        <f t="shared" si="6"/>
        <v>11.093904448105437</v>
      </c>
      <c r="T44">
        <f t="shared" si="7"/>
        <v>332.81713344316313</v>
      </c>
      <c r="U44">
        <v>2240</v>
      </c>
      <c r="V44">
        <f t="shared" si="8"/>
        <v>0.14857907742998355</v>
      </c>
      <c r="W44">
        <f t="shared" si="9"/>
        <v>67.134635080206053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58E5D-A3E4-4167-B688-88AB03830B94}">
  <dimension ref="B4:AO49"/>
  <sheetViews>
    <sheetView topLeftCell="A22" workbookViewId="0">
      <selection activeCell="J44" sqref="J44"/>
    </sheetView>
  </sheetViews>
  <sheetFormatPr defaultRowHeight="15" x14ac:dyDescent="0.25"/>
  <cols>
    <col min="9" max="9" width="17" customWidth="1"/>
    <col min="12" max="12" width="15.5703125" customWidth="1"/>
    <col min="19" max="19" width="15" customWidth="1"/>
    <col min="21" max="21" width="14.28515625" customWidth="1"/>
    <col min="29" max="29" width="14.7109375" customWidth="1"/>
    <col min="46" max="46" width="13.5703125" customWidth="1"/>
  </cols>
  <sheetData>
    <row r="4" spans="2:41" x14ac:dyDescent="0.25">
      <c r="B4" t="s">
        <v>116</v>
      </c>
      <c r="Y4" t="s">
        <v>116</v>
      </c>
    </row>
    <row r="5" spans="2:41" x14ac:dyDescent="0.25">
      <c r="B5" t="s">
        <v>31</v>
      </c>
      <c r="Y5" t="s">
        <v>31</v>
      </c>
    </row>
    <row r="6" spans="2:41" x14ac:dyDescent="0.25">
      <c r="B6" t="s">
        <v>139</v>
      </c>
      <c r="Y6" t="s">
        <v>140</v>
      </c>
    </row>
    <row r="7" spans="2:41" x14ac:dyDescent="0.25">
      <c r="B7" t="s">
        <v>141</v>
      </c>
      <c r="Y7" t="s">
        <v>120</v>
      </c>
    </row>
    <row r="8" spans="2:41" x14ac:dyDescent="0.25">
      <c r="B8" t="s">
        <v>142</v>
      </c>
      <c r="Y8" t="s">
        <v>142</v>
      </c>
    </row>
    <row r="9" spans="2:41" x14ac:dyDescent="0.25">
      <c r="B9" t="s">
        <v>143</v>
      </c>
      <c r="Y9" t="s">
        <v>144</v>
      </c>
    </row>
    <row r="10" spans="2:41" x14ac:dyDescent="0.25">
      <c r="B10" t="s">
        <v>125</v>
      </c>
      <c r="E10" t="s">
        <v>126</v>
      </c>
      <c r="Y10" t="s">
        <v>125</v>
      </c>
      <c r="AB10" t="s">
        <v>126</v>
      </c>
    </row>
    <row r="12" spans="2:41" x14ac:dyDescent="0.25">
      <c r="Q12" s="1" t="s">
        <v>145</v>
      </c>
      <c r="R12" s="1" t="s">
        <v>146</v>
      </c>
      <c r="S12" s="1" t="s">
        <v>147</v>
      </c>
      <c r="T12" s="1" t="s">
        <v>148</v>
      </c>
    </row>
    <row r="13" spans="2:41" x14ac:dyDescent="0.25">
      <c r="P13" t="s">
        <v>149</v>
      </c>
      <c r="Q13" s="24">
        <f>AVERAGE(C16:C17)</f>
        <v>0.159</v>
      </c>
    </row>
    <row r="14" spans="2:41" x14ac:dyDescent="0.25">
      <c r="C14" t="s">
        <v>150</v>
      </c>
      <c r="P14" s="24" t="s">
        <v>151</v>
      </c>
      <c r="Q14" s="24">
        <f>AVERAGE(C18:C19)-Q13</f>
        <v>0.19850000000000004</v>
      </c>
      <c r="R14">
        <f>Q14-$Q$15</f>
        <v>0.19650000000000004</v>
      </c>
      <c r="S14" s="24"/>
      <c r="T14" s="24"/>
      <c r="Z14" t="s">
        <v>128</v>
      </c>
    </row>
    <row r="15" spans="2:41" x14ac:dyDescent="0.25">
      <c r="C15" s="11">
        <v>1</v>
      </c>
      <c r="D15" s="11">
        <v>2</v>
      </c>
      <c r="E15" s="11">
        <v>3</v>
      </c>
      <c r="F15" s="11">
        <v>4</v>
      </c>
      <c r="G15" s="11">
        <v>5</v>
      </c>
      <c r="H15" s="11">
        <v>6</v>
      </c>
      <c r="I15" s="11">
        <v>7</v>
      </c>
      <c r="J15" s="11">
        <v>8</v>
      </c>
      <c r="K15" s="11">
        <v>9</v>
      </c>
      <c r="L15" s="11">
        <v>10</v>
      </c>
      <c r="M15" s="11">
        <v>11</v>
      </c>
      <c r="N15" s="11">
        <v>12</v>
      </c>
      <c r="P15" s="24" t="s">
        <v>152</v>
      </c>
      <c r="Q15" s="24">
        <f>AVERAGE(C20:C21)-Q13</f>
        <v>2.0000000000000018E-3</v>
      </c>
      <c r="R15">
        <f t="shared" ref="R15:R21" si="0">Q15-$Q$15</f>
        <v>0</v>
      </c>
      <c r="S15" s="24"/>
      <c r="T15" s="24"/>
      <c r="Z15" s="11">
        <v>1</v>
      </c>
      <c r="AA15" s="11">
        <v>2</v>
      </c>
      <c r="AB15" s="11">
        <v>3</v>
      </c>
      <c r="AC15" s="11">
        <v>4</v>
      </c>
      <c r="AD15" s="11">
        <v>5</v>
      </c>
      <c r="AE15" s="11">
        <v>6</v>
      </c>
      <c r="AF15" s="11">
        <v>7</v>
      </c>
      <c r="AG15" s="11">
        <v>8</v>
      </c>
      <c r="AH15" s="11">
        <v>9</v>
      </c>
      <c r="AI15" s="11">
        <v>10</v>
      </c>
      <c r="AJ15" s="11">
        <v>11</v>
      </c>
      <c r="AK15" s="11">
        <v>12</v>
      </c>
      <c r="AM15" s="1" t="s">
        <v>132</v>
      </c>
      <c r="AN15" s="1" t="s">
        <v>47</v>
      </c>
      <c r="AO15" s="1" t="s">
        <v>48</v>
      </c>
    </row>
    <row r="16" spans="2:41" x14ac:dyDescent="0.25">
      <c r="B16" s="11" t="s">
        <v>38</v>
      </c>
      <c r="C16" s="12">
        <v>0.159</v>
      </c>
      <c r="D16" s="13">
        <v>0.26100000000000001</v>
      </c>
      <c r="E16" s="13">
        <v>0.23</v>
      </c>
      <c r="F16" s="13">
        <v>0.749</v>
      </c>
      <c r="G16" s="13">
        <v>0.76300000000000001</v>
      </c>
      <c r="H16" s="13">
        <v>0.77100000000000002</v>
      </c>
      <c r="I16" s="13">
        <v>0.79500000000000004</v>
      </c>
      <c r="J16" s="13">
        <v>0.78400000000000003</v>
      </c>
      <c r="K16" s="13">
        <v>0.81</v>
      </c>
      <c r="L16" s="13">
        <v>0.77500000000000002</v>
      </c>
      <c r="M16" s="13">
        <v>0.79</v>
      </c>
      <c r="N16" s="14"/>
      <c r="P16" s="24" t="s">
        <v>153</v>
      </c>
      <c r="Q16" s="24">
        <f>AVERAGE(C22:C23)-Q13</f>
        <v>0.75849999999999995</v>
      </c>
      <c r="R16">
        <f t="shared" si="0"/>
        <v>0.75649999999999995</v>
      </c>
      <c r="S16" s="24"/>
      <c r="T16" s="24"/>
      <c r="Y16" s="11" t="s">
        <v>38</v>
      </c>
      <c r="Z16" s="12">
        <v>0.48799999999999999</v>
      </c>
      <c r="AA16" s="13">
        <v>0.48399999999999999</v>
      </c>
      <c r="AB16" s="13">
        <v>0.14299999999999999</v>
      </c>
      <c r="AC16" s="13">
        <v>0.14000000000000001</v>
      </c>
      <c r="AD16" s="13">
        <v>0.152</v>
      </c>
      <c r="AE16" s="13">
        <v>0.14699999999999999</v>
      </c>
      <c r="AF16" s="13">
        <v>0.14599999999999999</v>
      </c>
      <c r="AG16" s="13">
        <v>0.14799999999999999</v>
      </c>
      <c r="AH16" s="13">
        <v>0.16600000000000001</v>
      </c>
      <c r="AI16" s="13">
        <v>0.155</v>
      </c>
      <c r="AJ16" s="13"/>
      <c r="AK16" s="14"/>
      <c r="AM16">
        <v>2000</v>
      </c>
      <c r="AN16">
        <f>AVERAGE(Z16:AA16)</f>
        <v>0.48599999999999999</v>
      </c>
      <c r="AO16">
        <f>AN16-0.069</f>
        <v>0.41699999999999998</v>
      </c>
    </row>
    <row r="17" spans="2:41" x14ac:dyDescent="0.25">
      <c r="B17" s="11" t="s">
        <v>40</v>
      </c>
      <c r="C17" s="15">
        <v>0.159</v>
      </c>
      <c r="D17" s="16">
        <v>0.35</v>
      </c>
      <c r="E17" s="16">
        <v>0.39</v>
      </c>
      <c r="F17" s="16">
        <v>0.76</v>
      </c>
      <c r="G17" s="16">
        <v>0.78500000000000003</v>
      </c>
      <c r="H17" s="16">
        <v>0.78900000000000003</v>
      </c>
      <c r="I17" s="16">
        <v>0.747</v>
      </c>
      <c r="J17" s="16">
        <v>0.79200000000000004</v>
      </c>
      <c r="K17" s="16">
        <v>0.79300000000000004</v>
      </c>
      <c r="L17" s="16">
        <v>0.79</v>
      </c>
      <c r="M17" s="16">
        <v>0.79500000000000004</v>
      </c>
      <c r="N17" s="17"/>
      <c r="P17" s="24" t="s">
        <v>154</v>
      </c>
      <c r="Q17" s="24">
        <f>AVERAGE(D16:E16)</f>
        <v>0.2455</v>
      </c>
      <c r="R17">
        <f t="shared" si="0"/>
        <v>0.24349999999999999</v>
      </c>
      <c r="S17" s="24">
        <f>(R17/$R$16)*100</f>
        <v>32.187706543291476</v>
      </c>
      <c r="T17" s="24">
        <f>LOG(U17)</f>
        <v>2.3010299956639813</v>
      </c>
      <c r="U17">
        <v>200</v>
      </c>
      <c r="Y17" s="11" t="s">
        <v>40</v>
      </c>
      <c r="Z17" s="15">
        <v>0.312</v>
      </c>
      <c r="AA17" s="16">
        <v>0.30199999999999999</v>
      </c>
      <c r="AB17" s="16">
        <v>0.151</v>
      </c>
      <c r="AC17" s="16">
        <v>0.14399999999999999</v>
      </c>
      <c r="AD17" s="16">
        <v>0.14899999999999999</v>
      </c>
      <c r="AE17" s="16">
        <v>0.14699999999999999</v>
      </c>
      <c r="AF17" s="16">
        <v>0.154</v>
      </c>
      <c r="AG17" s="16">
        <v>0.14199999999999999</v>
      </c>
      <c r="AH17" s="16">
        <v>0.16</v>
      </c>
      <c r="AI17" s="16">
        <v>0.161</v>
      </c>
      <c r="AJ17" s="16"/>
      <c r="AK17" s="17"/>
      <c r="AM17">
        <f>AM16/2</f>
        <v>1000</v>
      </c>
      <c r="AN17">
        <f t="shared" ref="AN17:AN23" si="1">AVERAGE(Z17:AA17)</f>
        <v>0.307</v>
      </c>
      <c r="AO17">
        <f t="shared" ref="AO17:AO23" si="2">AN17-0.069</f>
        <v>0.23799999999999999</v>
      </c>
    </row>
    <row r="18" spans="2:41" x14ac:dyDescent="0.25">
      <c r="B18" s="11" t="s">
        <v>41</v>
      </c>
      <c r="C18" s="15">
        <v>0.33200000000000002</v>
      </c>
      <c r="D18" s="16">
        <v>0.54700000000000004</v>
      </c>
      <c r="E18" s="16">
        <v>0.58599999999999997</v>
      </c>
      <c r="F18" s="16">
        <v>0.80400000000000005</v>
      </c>
      <c r="G18" s="16">
        <v>0.77500000000000002</v>
      </c>
      <c r="H18" s="16">
        <v>0.77100000000000002</v>
      </c>
      <c r="I18" s="16">
        <v>0.79300000000000004</v>
      </c>
      <c r="J18" s="16">
        <v>0.76400000000000001</v>
      </c>
      <c r="K18" s="16">
        <v>0.76800000000000002</v>
      </c>
      <c r="L18" s="16">
        <v>0.77200000000000002</v>
      </c>
      <c r="M18" s="16">
        <v>0.77700000000000002</v>
      </c>
      <c r="N18" s="17"/>
      <c r="P18" s="24" t="s">
        <v>155</v>
      </c>
      <c r="Q18" s="24">
        <f t="shared" ref="Q18:Q21" si="3">AVERAGE(D17:E17)</f>
        <v>0.37</v>
      </c>
      <c r="R18">
        <f t="shared" si="0"/>
        <v>0.36799999999999999</v>
      </c>
      <c r="S18" s="24">
        <f t="shared" ref="S18:S21" si="4">(R18/$R$16)*100</f>
        <v>48.645076007931266</v>
      </c>
      <c r="T18" s="24">
        <f>LOG(U18)</f>
        <v>1.6989700043360187</v>
      </c>
      <c r="U18">
        <v>50</v>
      </c>
      <c r="Y18" s="11" t="s">
        <v>41</v>
      </c>
      <c r="Z18" s="15">
        <v>0.19</v>
      </c>
      <c r="AA18" s="16">
        <v>0.19500000000000001</v>
      </c>
      <c r="AB18" s="16">
        <v>0.15</v>
      </c>
      <c r="AC18" s="16">
        <v>0.14899999999999999</v>
      </c>
      <c r="AD18" s="16">
        <v>0.155</v>
      </c>
      <c r="AE18" s="16">
        <v>0.156</v>
      </c>
      <c r="AF18" s="16">
        <v>0.151</v>
      </c>
      <c r="AG18" s="16">
        <v>0.153</v>
      </c>
      <c r="AH18" s="16">
        <v>0.16600000000000001</v>
      </c>
      <c r="AI18" s="16">
        <v>0.16</v>
      </c>
      <c r="AJ18" s="16"/>
      <c r="AK18" s="17"/>
      <c r="AM18">
        <f t="shared" ref="AM18:AM22" si="5">AM17/2</f>
        <v>500</v>
      </c>
      <c r="AN18">
        <f t="shared" si="1"/>
        <v>0.1925</v>
      </c>
      <c r="AO18">
        <f t="shared" si="2"/>
        <v>0.1235</v>
      </c>
    </row>
    <row r="19" spans="2:41" x14ac:dyDescent="0.25">
      <c r="B19" s="11" t="s">
        <v>42</v>
      </c>
      <c r="C19" s="15">
        <v>0.38300000000000001</v>
      </c>
      <c r="D19" s="16">
        <v>0.72099999999999997</v>
      </c>
      <c r="E19" s="16">
        <v>0.71299999999999997</v>
      </c>
      <c r="F19" s="16">
        <v>0.76</v>
      </c>
      <c r="G19" s="16">
        <v>0.74</v>
      </c>
      <c r="H19" s="16">
        <v>0.77500000000000002</v>
      </c>
      <c r="I19" s="16">
        <v>0.76300000000000001</v>
      </c>
      <c r="J19" s="16">
        <v>0.77600000000000002</v>
      </c>
      <c r="K19" s="16">
        <v>0.78800000000000003</v>
      </c>
      <c r="L19" s="16">
        <v>0.75900000000000001</v>
      </c>
      <c r="M19" s="16">
        <v>0.77400000000000002</v>
      </c>
      <c r="N19" s="17"/>
      <c r="P19" s="24" t="s">
        <v>156</v>
      </c>
      <c r="Q19" s="24">
        <f t="shared" si="3"/>
        <v>0.5665</v>
      </c>
      <c r="R19">
        <f t="shared" si="0"/>
        <v>0.5645</v>
      </c>
      <c r="S19" s="24">
        <f t="shared" si="4"/>
        <v>74.619960343688035</v>
      </c>
      <c r="T19" s="24">
        <f t="shared" ref="T19:T21" si="6">LOG(U19)</f>
        <v>1.0969100130080565</v>
      </c>
      <c r="U19">
        <v>12.5</v>
      </c>
      <c r="Y19" s="11" t="s">
        <v>42</v>
      </c>
      <c r="Z19" s="15">
        <v>0.13700000000000001</v>
      </c>
      <c r="AA19" s="16">
        <v>0.13900000000000001</v>
      </c>
      <c r="AB19" s="16">
        <v>0.159</v>
      </c>
      <c r="AC19" s="16">
        <v>0.16300000000000001</v>
      </c>
      <c r="AD19" s="16">
        <v>0.153</v>
      </c>
      <c r="AE19" s="16">
        <v>0.19800000000000001</v>
      </c>
      <c r="AF19" s="16">
        <v>0.157</v>
      </c>
      <c r="AG19" s="16">
        <v>0.16800000000000001</v>
      </c>
      <c r="AH19" s="16">
        <v>0.161</v>
      </c>
      <c r="AI19" s="16">
        <v>0.16300000000000001</v>
      </c>
      <c r="AJ19" s="16"/>
      <c r="AK19" s="17"/>
      <c r="AM19">
        <f t="shared" si="5"/>
        <v>250</v>
      </c>
      <c r="AN19">
        <f t="shared" si="1"/>
        <v>0.13800000000000001</v>
      </c>
      <c r="AO19">
        <f t="shared" si="2"/>
        <v>6.9000000000000006E-2</v>
      </c>
    </row>
    <row r="20" spans="2:41" x14ac:dyDescent="0.25">
      <c r="B20" s="11" t="s">
        <v>43</v>
      </c>
      <c r="C20" s="15">
        <v>0.16400000000000001</v>
      </c>
      <c r="D20" s="16">
        <v>0.78</v>
      </c>
      <c r="E20" s="16">
        <v>0.79600000000000004</v>
      </c>
      <c r="F20" s="16">
        <v>0.79100000000000004</v>
      </c>
      <c r="G20" s="16">
        <v>0.76700000000000002</v>
      </c>
      <c r="H20" s="16">
        <v>0.77700000000000002</v>
      </c>
      <c r="I20" s="16">
        <v>0.748</v>
      </c>
      <c r="J20" s="16">
        <v>0.84199999999999997</v>
      </c>
      <c r="K20" s="16">
        <v>0.79300000000000004</v>
      </c>
      <c r="L20" s="16">
        <v>0.77</v>
      </c>
      <c r="M20" s="16">
        <v>0.79900000000000004</v>
      </c>
      <c r="N20" s="17"/>
      <c r="P20" s="24" t="s">
        <v>157</v>
      </c>
      <c r="Q20" s="24">
        <f t="shared" si="3"/>
        <v>0.71699999999999997</v>
      </c>
      <c r="R20">
        <f t="shared" si="0"/>
        <v>0.71499999999999997</v>
      </c>
      <c r="S20" s="24">
        <f t="shared" si="4"/>
        <v>94.514210178453411</v>
      </c>
      <c r="T20" s="24">
        <f t="shared" si="6"/>
        <v>0.49485002168009401</v>
      </c>
      <c r="U20">
        <v>3.125</v>
      </c>
      <c r="Y20" s="11" t="s">
        <v>43</v>
      </c>
      <c r="Z20" s="15">
        <v>0.106</v>
      </c>
      <c r="AA20" s="16">
        <v>0.106</v>
      </c>
      <c r="AB20" s="16">
        <v>0.155</v>
      </c>
      <c r="AC20" s="16">
        <v>0.15</v>
      </c>
      <c r="AD20" s="16">
        <v>0.152</v>
      </c>
      <c r="AE20" s="16">
        <v>0.14699999999999999</v>
      </c>
      <c r="AF20" s="16">
        <v>0.151</v>
      </c>
      <c r="AG20" s="16">
        <v>0.14399999999999999</v>
      </c>
      <c r="AH20" s="16">
        <v>0.159</v>
      </c>
      <c r="AI20" s="16">
        <v>0.159</v>
      </c>
      <c r="AJ20" s="16"/>
      <c r="AK20" s="17"/>
      <c r="AM20">
        <f t="shared" si="5"/>
        <v>125</v>
      </c>
      <c r="AN20">
        <f t="shared" si="1"/>
        <v>0.106</v>
      </c>
      <c r="AO20">
        <f t="shared" si="2"/>
        <v>3.6999999999999991E-2</v>
      </c>
    </row>
    <row r="21" spans="2:41" x14ac:dyDescent="0.25">
      <c r="B21" s="11" t="s">
        <v>44</v>
      </c>
      <c r="C21" s="15">
        <v>0.158</v>
      </c>
      <c r="D21" s="16"/>
      <c r="E21" s="16"/>
      <c r="F21" s="16">
        <v>0.76900000000000002</v>
      </c>
      <c r="G21" s="16">
        <v>0.76100000000000001</v>
      </c>
      <c r="H21" s="16">
        <v>0.77700000000000002</v>
      </c>
      <c r="I21" s="16">
        <v>0.75600000000000001</v>
      </c>
      <c r="J21" s="16">
        <v>0.80700000000000005</v>
      </c>
      <c r="K21" s="16">
        <v>0.75700000000000001</v>
      </c>
      <c r="L21" s="16">
        <v>0.76500000000000001</v>
      </c>
      <c r="M21" s="16">
        <v>0.80200000000000005</v>
      </c>
      <c r="N21" s="17"/>
      <c r="P21" s="24" t="s">
        <v>158</v>
      </c>
      <c r="Q21" s="24">
        <f t="shared" si="3"/>
        <v>0.78800000000000003</v>
      </c>
      <c r="R21">
        <f t="shared" si="0"/>
        <v>0.78600000000000003</v>
      </c>
      <c r="S21" s="24">
        <f t="shared" si="4"/>
        <v>103.89953734302711</v>
      </c>
      <c r="T21" s="24">
        <f t="shared" si="6"/>
        <v>-0.10734896612269966</v>
      </c>
      <c r="U21">
        <v>0.78100000000000003</v>
      </c>
      <c r="Y21" s="11" t="s">
        <v>44</v>
      </c>
      <c r="Z21" s="15">
        <v>8.8999999999999996E-2</v>
      </c>
      <c r="AA21" s="16">
        <v>8.7999999999999995E-2</v>
      </c>
      <c r="AB21" s="16">
        <v>0.14899999999999999</v>
      </c>
      <c r="AC21" s="16">
        <v>0.151</v>
      </c>
      <c r="AD21" s="16">
        <v>0.14899999999999999</v>
      </c>
      <c r="AE21" s="16">
        <v>0.154</v>
      </c>
      <c r="AF21" s="16">
        <v>0.16</v>
      </c>
      <c r="AG21" s="16">
        <v>0.155</v>
      </c>
      <c r="AH21" s="16">
        <v>0.16800000000000001</v>
      </c>
      <c r="AI21" s="16">
        <v>0.17499999999999999</v>
      </c>
      <c r="AJ21" s="16"/>
      <c r="AK21" s="17"/>
      <c r="AM21">
        <f t="shared" si="5"/>
        <v>62.5</v>
      </c>
      <c r="AN21">
        <f t="shared" si="1"/>
        <v>8.8499999999999995E-2</v>
      </c>
      <c r="AO21">
        <f t="shared" si="2"/>
        <v>1.949999999999999E-2</v>
      </c>
    </row>
    <row r="22" spans="2:41" x14ac:dyDescent="0.25">
      <c r="B22" s="11" t="s">
        <v>45</v>
      </c>
      <c r="C22" s="15">
        <v>0.93600000000000005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Y22" s="11" t="s">
        <v>45</v>
      </c>
      <c r="Z22" s="15">
        <v>7.9000000000000001E-2</v>
      </c>
      <c r="AA22" s="16">
        <v>7.9000000000000001E-2</v>
      </c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M22">
        <f t="shared" si="5"/>
        <v>31.25</v>
      </c>
      <c r="AN22">
        <f t="shared" si="1"/>
        <v>7.9000000000000001E-2</v>
      </c>
      <c r="AO22">
        <f t="shared" si="2"/>
        <v>9.999999999999995E-3</v>
      </c>
    </row>
    <row r="23" spans="2:41" x14ac:dyDescent="0.25">
      <c r="B23" s="11" t="s">
        <v>46</v>
      </c>
      <c r="C23" s="18">
        <v>0.89900000000000002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Y23" s="11" t="s">
        <v>46</v>
      </c>
      <c r="Z23" s="18">
        <v>6.9000000000000006E-2</v>
      </c>
      <c r="AA23" s="19">
        <v>6.9000000000000006E-2</v>
      </c>
      <c r="AB23" s="19"/>
      <c r="AC23" s="19"/>
      <c r="AD23" s="19"/>
      <c r="AE23" s="19"/>
      <c r="AF23" s="19"/>
      <c r="AG23" s="19"/>
      <c r="AH23" s="19"/>
      <c r="AI23" s="19"/>
      <c r="AJ23" s="19"/>
      <c r="AK23" s="20"/>
      <c r="AM23">
        <v>0</v>
      </c>
      <c r="AN23">
        <f t="shared" si="1"/>
        <v>6.9000000000000006E-2</v>
      </c>
      <c r="AO23">
        <f t="shared" si="2"/>
        <v>0</v>
      </c>
    </row>
    <row r="24" spans="2:41" x14ac:dyDescent="0.25">
      <c r="H24" s="1" t="s">
        <v>159</v>
      </c>
    </row>
    <row r="25" spans="2:41" x14ac:dyDescent="0.25">
      <c r="C25" s="11" t="s">
        <v>129</v>
      </c>
      <c r="E25" s="1" t="s">
        <v>47</v>
      </c>
      <c r="F25" s="1" t="s">
        <v>48</v>
      </c>
      <c r="G25" s="1" t="s">
        <v>159</v>
      </c>
      <c r="H25" s="1" t="s">
        <v>160</v>
      </c>
      <c r="I25" s="1" t="s">
        <v>161</v>
      </c>
      <c r="J25" s="1" t="s">
        <v>162</v>
      </c>
      <c r="L25" s="1" t="s">
        <v>163</v>
      </c>
      <c r="N25" s="1" t="s">
        <v>6</v>
      </c>
      <c r="Z25" s="11" t="s">
        <v>129</v>
      </c>
      <c r="AA25" s="1" t="s">
        <v>47</v>
      </c>
      <c r="AB25" s="1" t="s">
        <v>48</v>
      </c>
      <c r="AC25" s="1" t="s">
        <v>164</v>
      </c>
      <c r="AD25" s="1" t="s">
        <v>165</v>
      </c>
    </row>
    <row r="26" spans="2:41" x14ac:dyDescent="0.25">
      <c r="C26" s="11">
        <v>0</v>
      </c>
      <c r="D26" s="11">
        <v>1</v>
      </c>
      <c r="E26">
        <f>AVERAGE(G16)</f>
        <v>0.76300000000000001</v>
      </c>
      <c r="F26">
        <f>E26-$Q$15</f>
        <v>0.76100000000000001</v>
      </c>
      <c r="G26">
        <f>(-3.7124*F26)+3.153</f>
        <v>0.3278635999999997</v>
      </c>
      <c r="H26">
        <f>10^G26</f>
        <v>2.1274707607556871</v>
      </c>
      <c r="I26" s="3">
        <v>0.31</v>
      </c>
      <c r="J26">
        <f>H26/I26</f>
        <v>6.8628089056635071</v>
      </c>
      <c r="L26">
        <f>(J26/$N$26)*100</f>
        <v>113.84650897199788</v>
      </c>
      <c r="N26">
        <f>AVERAGE(J26:J31)</f>
        <v>6.0281241538565835</v>
      </c>
      <c r="Z26" s="11">
        <v>0</v>
      </c>
      <c r="AA26">
        <f>AVERAGE(AB16:AC16)</f>
        <v>0.14150000000000001</v>
      </c>
      <c r="AB26">
        <f>AA26-0.069</f>
        <v>7.2500000000000009E-2</v>
      </c>
      <c r="AC26">
        <f>(AB26-0.0105)/0.0002</f>
        <v>310</v>
      </c>
      <c r="AD26">
        <f>AC26/1000</f>
        <v>0.31</v>
      </c>
    </row>
    <row r="27" spans="2:41" x14ac:dyDescent="0.25">
      <c r="C27" s="11">
        <v>0</v>
      </c>
      <c r="D27" s="11">
        <v>2</v>
      </c>
      <c r="E27">
        <f>AVERAGE(F17)</f>
        <v>0.76</v>
      </c>
      <c r="F27">
        <f t="shared" ref="F27:F49" si="7">E27-$Q$15</f>
        <v>0.75800000000000001</v>
      </c>
      <c r="G27">
        <f t="shared" ref="G27:G49" si="8">(-3.7124*F27)+3.153</f>
        <v>0.33900079999999999</v>
      </c>
      <c r="H27">
        <f t="shared" ref="H27:H49" si="9">10^G27</f>
        <v>2.1827339325837904</v>
      </c>
      <c r="I27" s="3">
        <v>0.33999999999999997</v>
      </c>
      <c r="J27">
        <f t="shared" ref="J27:J49" si="10">H27/I27</f>
        <v>6.4198056840699724</v>
      </c>
      <c r="L27">
        <f t="shared" ref="L27:L48" si="11">(J27/$N$26)*100</f>
        <v>106.49756906487741</v>
      </c>
      <c r="Z27" s="11">
        <v>0</v>
      </c>
      <c r="AA27">
        <f t="shared" ref="AA27:AA31" si="12">AVERAGE(AB17:AC17)</f>
        <v>0.14749999999999999</v>
      </c>
      <c r="AB27">
        <f t="shared" ref="AB27:AB49" si="13">AA27-0.069</f>
        <v>7.8499999999999986E-2</v>
      </c>
      <c r="AC27">
        <f t="shared" ref="AC27:AC49" si="14">(AB27-0.0105)/0.0002</f>
        <v>339.99999999999994</v>
      </c>
      <c r="AD27">
        <f t="shared" ref="AD27:AD49" si="15">AC27/1000</f>
        <v>0.33999999999999997</v>
      </c>
    </row>
    <row r="28" spans="2:41" x14ac:dyDescent="0.25">
      <c r="C28" s="11">
        <v>0</v>
      </c>
      <c r="D28" s="11">
        <v>3</v>
      </c>
      <c r="E28">
        <f>AVERAGE(G18)</f>
        <v>0.77500000000000002</v>
      </c>
      <c r="F28">
        <f t="shared" si="7"/>
        <v>0.77300000000000002</v>
      </c>
      <c r="G28">
        <f t="shared" si="8"/>
        <v>0.28331479999999987</v>
      </c>
      <c r="H28">
        <f t="shared" si="9"/>
        <v>1.9200599991420597</v>
      </c>
      <c r="I28" s="3">
        <v>0.34999999999999992</v>
      </c>
      <c r="J28">
        <f t="shared" si="10"/>
        <v>5.4858857118344577</v>
      </c>
      <c r="L28">
        <f t="shared" si="11"/>
        <v>91.004856101458685</v>
      </c>
      <c r="Z28" s="11">
        <v>0</v>
      </c>
      <c r="AA28">
        <f t="shared" si="12"/>
        <v>0.14949999999999999</v>
      </c>
      <c r="AB28">
        <f t="shared" si="13"/>
        <v>8.0499999999999988E-2</v>
      </c>
      <c r="AC28">
        <f t="shared" si="14"/>
        <v>349.99999999999994</v>
      </c>
      <c r="AD28">
        <f t="shared" si="15"/>
        <v>0.34999999999999992</v>
      </c>
    </row>
    <row r="29" spans="2:41" x14ac:dyDescent="0.25">
      <c r="C29" s="11">
        <v>0</v>
      </c>
      <c r="D29" s="11">
        <v>4</v>
      </c>
      <c r="E29">
        <f t="shared" ref="E29" si="16">AVERAGE(F19:G19)</f>
        <v>0.75</v>
      </c>
      <c r="F29">
        <f t="shared" si="7"/>
        <v>0.748</v>
      </c>
      <c r="G29">
        <f t="shared" si="8"/>
        <v>0.37612479999999993</v>
      </c>
      <c r="H29">
        <f t="shared" si="9"/>
        <v>2.3775233998219232</v>
      </c>
      <c r="I29" s="3">
        <v>0.40749999999999997</v>
      </c>
      <c r="J29">
        <f t="shared" si="10"/>
        <v>5.8344132510967448</v>
      </c>
      <c r="L29">
        <f t="shared" si="11"/>
        <v>96.786547559145589</v>
      </c>
      <c r="Z29" s="11">
        <v>0</v>
      </c>
      <c r="AA29">
        <f t="shared" si="12"/>
        <v>0.161</v>
      </c>
      <c r="AB29">
        <f t="shared" si="13"/>
        <v>9.1999999999999998E-2</v>
      </c>
      <c r="AC29">
        <f t="shared" si="14"/>
        <v>407.5</v>
      </c>
      <c r="AD29">
        <f t="shared" si="15"/>
        <v>0.40749999999999997</v>
      </c>
    </row>
    <row r="30" spans="2:41" x14ac:dyDescent="0.25">
      <c r="C30" s="11">
        <v>0</v>
      </c>
      <c r="D30" s="11">
        <v>5</v>
      </c>
      <c r="E30">
        <f>AVERAGE(G20)</f>
        <v>0.76700000000000002</v>
      </c>
      <c r="F30">
        <f t="shared" si="7"/>
        <v>0.76500000000000001</v>
      </c>
      <c r="G30">
        <f t="shared" si="8"/>
        <v>0.3130139999999999</v>
      </c>
      <c r="H30">
        <f t="shared" si="9"/>
        <v>2.0559568711349128</v>
      </c>
      <c r="I30" s="3">
        <v>0.36499999999999994</v>
      </c>
      <c r="J30">
        <f t="shared" si="10"/>
        <v>5.6327585510545566</v>
      </c>
      <c r="L30">
        <f t="shared" si="11"/>
        <v>93.44131619205146</v>
      </c>
      <c r="Z30" s="11">
        <v>0</v>
      </c>
      <c r="AA30">
        <f t="shared" si="12"/>
        <v>0.1525</v>
      </c>
      <c r="AB30">
        <f t="shared" si="13"/>
        <v>8.3499999999999991E-2</v>
      </c>
      <c r="AC30">
        <f t="shared" si="14"/>
        <v>364.99999999999994</v>
      </c>
      <c r="AD30">
        <f t="shared" si="15"/>
        <v>0.36499999999999994</v>
      </c>
    </row>
    <row r="31" spans="2:41" x14ac:dyDescent="0.25">
      <c r="C31" s="11">
        <v>0</v>
      </c>
      <c r="D31" s="11">
        <v>6</v>
      </c>
      <c r="E31">
        <f>AVERAGE(F21:G21)</f>
        <v>0.76500000000000001</v>
      </c>
      <c r="F31">
        <f t="shared" si="7"/>
        <v>0.76300000000000001</v>
      </c>
      <c r="G31">
        <f t="shared" si="8"/>
        <v>0.3204387999999998</v>
      </c>
      <c r="H31">
        <f t="shared" si="9"/>
        <v>2.0914081688456405</v>
      </c>
      <c r="I31" s="3">
        <v>0.35249999999999992</v>
      </c>
      <c r="J31">
        <f t="shared" si="10"/>
        <v>5.933072819420258</v>
      </c>
      <c r="L31">
        <f t="shared" si="11"/>
        <v>98.423202110468893</v>
      </c>
      <c r="Z31" s="11">
        <v>0</v>
      </c>
      <c r="AA31">
        <f t="shared" si="12"/>
        <v>0.15</v>
      </c>
      <c r="AB31">
        <f t="shared" si="13"/>
        <v>8.0999999999999989E-2</v>
      </c>
      <c r="AC31">
        <f t="shared" si="14"/>
        <v>352.49999999999994</v>
      </c>
      <c r="AD31">
        <f t="shared" si="15"/>
        <v>0.35249999999999992</v>
      </c>
    </row>
    <row r="32" spans="2:41" x14ac:dyDescent="0.25">
      <c r="C32" s="11">
        <v>10</v>
      </c>
      <c r="D32" s="11">
        <v>1</v>
      </c>
      <c r="E32">
        <f>AVERAGE(H16:I16)</f>
        <v>0.78300000000000003</v>
      </c>
      <c r="F32">
        <f t="shared" si="7"/>
        <v>0.78100000000000003</v>
      </c>
      <c r="G32">
        <f t="shared" si="8"/>
        <v>0.25361559999999983</v>
      </c>
      <c r="H32">
        <f t="shared" si="9"/>
        <v>1.7931457863074445</v>
      </c>
      <c r="I32" s="3">
        <v>0.34999999999999992</v>
      </c>
      <c r="J32">
        <f t="shared" si="10"/>
        <v>5.1232736751641283</v>
      </c>
      <c r="L32">
        <f t="shared" si="11"/>
        <v>84.989518205036248</v>
      </c>
      <c r="Z32" s="11">
        <v>10</v>
      </c>
      <c r="AA32">
        <f>AVERAGE(AD16:AE16)</f>
        <v>0.14949999999999999</v>
      </c>
      <c r="AB32">
        <f t="shared" si="13"/>
        <v>8.0499999999999988E-2</v>
      </c>
      <c r="AC32">
        <f t="shared" si="14"/>
        <v>349.99999999999994</v>
      </c>
      <c r="AD32">
        <f t="shared" si="15"/>
        <v>0.34999999999999992</v>
      </c>
    </row>
    <row r="33" spans="3:30" x14ac:dyDescent="0.25">
      <c r="C33" s="11">
        <v>10</v>
      </c>
      <c r="D33" s="11">
        <v>2</v>
      </c>
      <c r="E33">
        <f t="shared" ref="E33:E35" si="17">AVERAGE(H17:I17)</f>
        <v>0.76800000000000002</v>
      </c>
      <c r="F33">
        <f t="shared" si="7"/>
        <v>0.76600000000000001</v>
      </c>
      <c r="G33">
        <f t="shared" si="8"/>
        <v>0.30930159999999995</v>
      </c>
      <c r="H33">
        <f t="shared" si="9"/>
        <v>2.0384572125828235</v>
      </c>
      <c r="I33" s="3">
        <v>0.34249999999999992</v>
      </c>
      <c r="J33">
        <f t="shared" si="10"/>
        <v>5.9516998907527707</v>
      </c>
      <c r="L33">
        <f t="shared" si="11"/>
        <v>98.732204892380665</v>
      </c>
      <c r="Z33" s="11">
        <v>10</v>
      </c>
      <c r="AA33">
        <f t="shared" ref="AA33:AA37" si="18">AVERAGE(AD17:AE17)</f>
        <v>0.14799999999999999</v>
      </c>
      <c r="AB33">
        <f t="shared" si="13"/>
        <v>7.8999999999999987E-2</v>
      </c>
      <c r="AC33">
        <f t="shared" si="14"/>
        <v>342.49999999999994</v>
      </c>
      <c r="AD33">
        <f t="shared" si="15"/>
        <v>0.34249999999999992</v>
      </c>
    </row>
    <row r="34" spans="3:30" x14ac:dyDescent="0.25">
      <c r="C34" s="11">
        <v>10</v>
      </c>
      <c r="D34" s="11">
        <v>3</v>
      </c>
      <c r="E34">
        <f t="shared" si="17"/>
        <v>0.78200000000000003</v>
      </c>
      <c r="F34">
        <f t="shared" si="7"/>
        <v>0.78</v>
      </c>
      <c r="G34">
        <f t="shared" si="8"/>
        <v>0.25732799999999978</v>
      </c>
      <c r="H34">
        <f t="shared" si="9"/>
        <v>1.8085395060288112</v>
      </c>
      <c r="I34" s="3">
        <v>0.38</v>
      </c>
      <c r="J34">
        <f t="shared" si="10"/>
        <v>4.759314489549503</v>
      </c>
      <c r="L34">
        <f t="shared" si="11"/>
        <v>78.95183257804436</v>
      </c>
      <c r="Z34" s="11">
        <v>10</v>
      </c>
      <c r="AA34">
        <f t="shared" si="18"/>
        <v>0.1555</v>
      </c>
      <c r="AB34">
        <f t="shared" si="13"/>
        <v>8.6499999999999994E-2</v>
      </c>
      <c r="AC34">
        <f t="shared" si="14"/>
        <v>380</v>
      </c>
      <c r="AD34">
        <f t="shared" si="15"/>
        <v>0.38</v>
      </c>
    </row>
    <row r="35" spans="3:30" x14ac:dyDescent="0.25">
      <c r="C35" s="11">
        <v>10</v>
      </c>
      <c r="D35" s="11">
        <v>4</v>
      </c>
      <c r="E35">
        <f t="shared" si="17"/>
        <v>0.76900000000000002</v>
      </c>
      <c r="F35">
        <f t="shared" si="7"/>
        <v>0.76700000000000002</v>
      </c>
      <c r="G35">
        <f t="shared" si="8"/>
        <v>0.30558920000000001</v>
      </c>
      <c r="H35">
        <f t="shared" si="9"/>
        <v>2.0211065056229289</v>
      </c>
      <c r="I35" s="3">
        <v>0.47999999999999993</v>
      </c>
      <c r="J35">
        <f t="shared" si="10"/>
        <v>4.2106385533811022</v>
      </c>
      <c r="L35">
        <f t="shared" si="11"/>
        <v>69.849897678157177</v>
      </c>
      <c r="Z35" s="11">
        <v>10</v>
      </c>
      <c r="AA35">
        <f t="shared" si="18"/>
        <v>0.17549999999999999</v>
      </c>
      <c r="AB35">
        <f t="shared" si="13"/>
        <v>0.10649999999999998</v>
      </c>
      <c r="AC35">
        <f t="shared" si="14"/>
        <v>479.99999999999994</v>
      </c>
      <c r="AD35">
        <f t="shared" si="15"/>
        <v>0.47999999999999993</v>
      </c>
    </row>
    <row r="36" spans="3:30" x14ac:dyDescent="0.25">
      <c r="C36" s="11">
        <v>10</v>
      </c>
      <c r="D36" s="11">
        <v>5</v>
      </c>
      <c r="E36">
        <f>AVERAGE(H20)</f>
        <v>0.77700000000000002</v>
      </c>
      <c r="F36">
        <f t="shared" si="7"/>
        <v>0.77500000000000002</v>
      </c>
      <c r="G36">
        <f t="shared" si="8"/>
        <v>0.27588999999999997</v>
      </c>
      <c r="H36">
        <f t="shared" si="9"/>
        <v>1.8875132109703299</v>
      </c>
      <c r="I36" s="3">
        <v>0.34999999999999992</v>
      </c>
      <c r="J36">
        <f t="shared" si="10"/>
        <v>5.3928948884866577</v>
      </c>
      <c r="L36">
        <f t="shared" si="11"/>
        <v>89.462239841833252</v>
      </c>
      <c r="Z36" s="11">
        <v>10</v>
      </c>
      <c r="AA36">
        <f t="shared" si="18"/>
        <v>0.14949999999999999</v>
      </c>
      <c r="AB36">
        <f t="shared" si="13"/>
        <v>8.0499999999999988E-2</v>
      </c>
      <c r="AC36">
        <f t="shared" si="14"/>
        <v>349.99999999999994</v>
      </c>
      <c r="AD36">
        <f t="shared" si="15"/>
        <v>0.34999999999999992</v>
      </c>
    </row>
    <row r="37" spans="3:30" x14ac:dyDescent="0.25">
      <c r="C37" s="11">
        <v>10</v>
      </c>
      <c r="D37" s="11">
        <v>6</v>
      </c>
      <c r="E37">
        <f>AVERAGE(H21)</f>
        <v>0.77700000000000002</v>
      </c>
      <c r="F37">
        <f t="shared" si="7"/>
        <v>0.77500000000000002</v>
      </c>
      <c r="G37">
        <f t="shared" si="8"/>
        <v>0.27588999999999997</v>
      </c>
      <c r="H37">
        <f t="shared" si="9"/>
        <v>1.8875132109703299</v>
      </c>
      <c r="I37" s="3">
        <v>0.35999999999999993</v>
      </c>
      <c r="J37">
        <f t="shared" si="10"/>
        <v>5.2430922526953614</v>
      </c>
      <c r="L37">
        <f t="shared" si="11"/>
        <v>86.97717762400454</v>
      </c>
      <c r="Z37" s="11">
        <v>10</v>
      </c>
      <c r="AA37">
        <f t="shared" si="18"/>
        <v>0.1515</v>
      </c>
      <c r="AB37">
        <f t="shared" si="13"/>
        <v>8.249999999999999E-2</v>
      </c>
      <c r="AC37">
        <f t="shared" si="14"/>
        <v>359.99999999999994</v>
      </c>
      <c r="AD37">
        <f t="shared" si="15"/>
        <v>0.35999999999999993</v>
      </c>
    </row>
    <row r="38" spans="3:30" x14ac:dyDescent="0.25">
      <c r="C38" s="11">
        <v>50</v>
      </c>
      <c r="D38" s="11">
        <v>1</v>
      </c>
      <c r="E38">
        <f>AVERAGE(J16:K16)</f>
        <v>0.79700000000000004</v>
      </c>
      <c r="F38">
        <f t="shared" si="7"/>
        <v>0.79500000000000004</v>
      </c>
      <c r="G38">
        <f t="shared" si="8"/>
        <v>0.20164199999999965</v>
      </c>
      <c r="H38">
        <f t="shared" si="9"/>
        <v>1.5908967696688145</v>
      </c>
      <c r="I38" s="3">
        <v>0.33749999999999997</v>
      </c>
      <c r="J38">
        <f t="shared" si="10"/>
        <v>4.7137682064261179</v>
      </c>
      <c r="L38">
        <f t="shared" si="11"/>
        <v>78.196269454908517</v>
      </c>
      <c r="Z38" s="11">
        <v>50</v>
      </c>
      <c r="AA38">
        <f>AVERAGE(AF16:AG16)</f>
        <v>0.14699999999999999</v>
      </c>
      <c r="AB38">
        <f t="shared" si="13"/>
        <v>7.7999999999999986E-2</v>
      </c>
      <c r="AC38">
        <f t="shared" si="14"/>
        <v>337.49999999999994</v>
      </c>
      <c r="AD38">
        <f t="shared" si="15"/>
        <v>0.33749999999999997</v>
      </c>
    </row>
    <row r="39" spans="3:30" x14ac:dyDescent="0.25">
      <c r="C39" s="11">
        <v>50</v>
      </c>
      <c r="D39" s="11">
        <v>2</v>
      </c>
      <c r="E39">
        <f t="shared" ref="E39:E43" si="19">AVERAGE(J17:K17)</f>
        <v>0.79249999999999998</v>
      </c>
      <c r="F39">
        <f t="shared" si="7"/>
        <v>0.79049999999999998</v>
      </c>
      <c r="G39">
        <f t="shared" si="8"/>
        <v>0.21834780000000009</v>
      </c>
      <c r="H39">
        <f t="shared" si="9"/>
        <v>1.6532852836997705</v>
      </c>
      <c r="I39" s="3">
        <v>0.34249999999999992</v>
      </c>
      <c r="J39">
        <f t="shared" si="10"/>
        <v>4.8271103173715941</v>
      </c>
      <c r="L39">
        <f t="shared" si="11"/>
        <v>80.076491362298469</v>
      </c>
      <c r="Z39" s="11">
        <v>50</v>
      </c>
      <c r="AA39">
        <f t="shared" ref="AA39:AA43" si="20">AVERAGE(AF17:AG17)</f>
        <v>0.14799999999999999</v>
      </c>
      <c r="AB39">
        <f t="shared" si="13"/>
        <v>7.8999999999999987E-2</v>
      </c>
      <c r="AC39">
        <f t="shared" si="14"/>
        <v>342.49999999999994</v>
      </c>
      <c r="AD39">
        <f t="shared" si="15"/>
        <v>0.34249999999999992</v>
      </c>
    </row>
    <row r="40" spans="3:30" x14ac:dyDescent="0.25">
      <c r="C40" s="11">
        <v>50</v>
      </c>
      <c r="D40" s="11">
        <v>3</v>
      </c>
      <c r="E40">
        <f t="shared" si="19"/>
        <v>0.76600000000000001</v>
      </c>
      <c r="F40">
        <f t="shared" si="7"/>
        <v>0.76400000000000001</v>
      </c>
      <c r="G40">
        <f t="shared" si="8"/>
        <v>0.31672639999999985</v>
      </c>
      <c r="H40">
        <f t="shared" si="9"/>
        <v>2.073606759992328</v>
      </c>
      <c r="I40" s="3">
        <v>0.36249999999999993</v>
      </c>
      <c r="J40">
        <f t="shared" si="10"/>
        <v>5.7202945103236642</v>
      </c>
      <c r="L40">
        <f t="shared" si="11"/>
        <v>94.893442210609066</v>
      </c>
      <c r="Z40" s="11">
        <v>50</v>
      </c>
      <c r="AA40">
        <f t="shared" si="20"/>
        <v>0.152</v>
      </c>
      <c r="AB40">
        <f t="shared" si="13"/>
        <v>8.299999999999999E-2</v>
      </c>
      <c r="AC40">
        <f t="shared" si="14"/>
        <v>362.49999999999994</v>
      </c>
      <c r="AD40">
        <f t="shared" si="15"/>
        <v>0.36249999999999993</v>
      </c>
    </row>
    <row r="41" spans="3:30" x14ac:dyDescent="0.25">
      <c r="C41" s="11">
        <v>50</v>
      </c>
      <c r="D41" s="11">
        <v>4</v>
      </c>
      <c r="E41">
        <f t="shared" si="19"/>
        <v>0.78200000000000003</v>
      </c>
      <c r="F41">
        <f t="shared" si="7"/>
        <v>0.78</v>
      </c>
      <c r="G41">
        <f t="shared" si="8"/>
        <v>0.25732799999999978</v>
      </c>
      <c r="H41">
        <f t="shared" si="9"/>
        <v>1.8085395060288112</v>
      </c>
      <c r="I41" s="3">
        <v>0.41499999999999998</v>
      </c>
      <c r="J41">
        <f t="shared" si="10"/>
        <v>4.3579265205513522</v>
      </c>
      <c r="L41">
        <f t="shared" si="11"/>
        <v>72.293244288329774</v>
      </c>
      <c r="Z41" s="11">
        <v>50</v>
      </c>
      <c r="AA41">
        <f t="shared" si="20"/>
        <v>0.16250000000000001</v>
      </c>
      <c r="AB41">
        <f t="shared" si="13"/>
        <v>9.35E-2</v>
      </c>
      <c r="AC41">
        <f t="shared" si="14"/>
        <v>415</v>
      </c>
      <c r="AD41">
        <f t="shared" si="15"/>
        <v>0.41499999999999998</v>
      </c>
    </row>
    <row r="42" spans="3:30" x14ac:dyDescent="0.25">
      <c r="C42" s="11">
        <v>50</v>
      </c>
      <c r="D42" s="11">
        <v>5</v>
      </c>
      <c r="E42">
        <f>AVERAGE(J20:K20)</f>
        <v>0.8175</v>
      </c>
      <c r="F42">
        <f t="shared" si="7"/>
        <v>0.8155</v>
      </c>
      <c r="G42">
        <f t="shared" si="8"/>
        <v>0.12553780000000003</v>
      </c>
      <c r="H42">
        <f t="shared" si="9"/>
        <v>1.3351737949834372</v>
      </c>
      <c r="I42" s="3">
        <v>0.33999999999999997</v>
      </c>
      <c r="J42">
        <f t="shared" si="10"/>
        <v>3.9269817499512865</v>
      </c>
      <c r="L42">
        <f t="shared" si="11"/>
        <v>65.14434092136176</v>
      </c>
      <c r="Z42" s="11">
        <v>50</v>
      </c>
      <c r="AA42">
        <f>AVERAGE(AF20:AG20)</f>
        <v>0.14749999999999999</v>
      </c>
      <c r="AB42">
        <f t="shared" si="13"/>
        <v>7.8499999999999986E-2</v>
      </c>
      <c r="AC42">
        <f t="shared" si="14"/>
        <v>339.99999999999994</v>
      </c>
      <c r="AD42">
        <f t="shared" si="15"/>
        <v>0.33999999999999997</v>
      </c>
    </row>
    <row r="43" spans="3:30" x14ac:dyDescent="0.25">
      <c r="C43" s="11">
        <v>50</v>
      </c>
      <c r="D43" s="11">
        <v>6</v>
      </c>
      <c r="E43">
        <f t="shared" si="19"/>
        <v>0.78200000000000003</v>
      </c>
      <c r="F43">
        <f t="shared" si="7"/>
        <v>0.78</v>
      </c>
      <c r="G43">
        <f t="shared" si="8"/>
        <v>0.25732799999999978</v>
      </c>
      <c r="H43">
        <f t="shared" si="9"/>
        <v>1.8085395060288112</v>
      </c>
      <c r="I43" s="3">
        <v>0.39</v>
      </c>
      <c r="J43">
        <f t="shared" si="10"/>
        <v>4.637280784689259</v>
      </c>
      <c r="L43">
        <f t="shared" si="11"/>
        <v>76.927426614504753</v>
      </c>
      <c r="Z43" s="11">
        <v>50</v>
      </c>
      <c r="AA43">
        <f t="shared" si="20"/>
        <v>0.1575</v>
      </c>
      <c r="AB43">
        <f t="shared" si="13"/>
        <v>8.8499999999999995E-2</v>
      </c>
      <c r="AC43">
        <f t="shared" si="14"/>
        <v>390</v>
      </c>
      <c r="AD43">
        <f t="shared" si="15"/>
        <v>0.39</v>
      </c>
    </row>
    <row r="44" spans="3:30" x14ac:dyDescent="0.25">
      <c r="C44" s="11">
        <v>500</v>
      </c>
      <c r="D44" s="11">
        <v>1</v>
      </c>
      <c r="E44">
        <f t="shared" ref="E44:E49" si="21">AVERAGE(L16:M16)</f>
        <v>0.78249999999999997</v>
      </c>
      <c r="F44">
        <f t="shared" si="7"/>
        <v>0.78049999999999997</v>
      </c>
      <c r="G44">
        <f t="shared" si="8"/>
        <v>0.25547180000000003</v>
      </c>
      <c r="H44">
        <f t="shared" si="9"/>
        <v>1.8008261977787063</v>
      </c>
      <c r="I44" s="3">
        <v>0.40500000000000003</v>
      </c>
      <c r="J44">
        <f t="shared" si="10"/>
        <v>4.4464844389597689</v>
      </c>
      <c r="L44">
        <f t="shared" si="11"/>
        <v>73.762323493537593</v>
      </c>
      <c r="Z44" s="11">
        <v>500</v>
      </c>
      <c r="AA44">
        <f>AVERAGE(AH16:AI16)</f>
        <v>0.1605</v>
      </c>
      <c r="AB44">
        <f t="shared" si="13"/>
        <v>9.1499999999999998E-2</v>
      </c>
      <c r="AC44">
        <f t="shared" si="14"/>
        <v>405</v>
      </c>
      <c r="AD44">
        <f t="shared" si="15"/>
        <v>0.40500000000000003</v>
      </c>
    </row>
    <row r="45" spans="3:30" x14ac:dyDescent="0.25">
      <c r="C45" s="11">
        <v>500</v>
      </c>
      <c r="D45" s="11">
        <v>2</v>
      </c>
      <c r="E45">
        <f t="shared" si="21"/>
        <v>0.79249999999999998</v>
      </c>
      <c r="F45">
        <f t="shared" si="7"/>
        <v>0.79049999999999998</v>
      </c>
      <c r="G45">
        <f t="shared" si="8"/>
        <v>0.21834780000000009</v>
      </c>
      <c r="H45">
        <f t="shared" si="9"/>
        <v>1.6532852836997705</v>
      </c>
      <c r="I45" s="3">
        <v>0.40500000000000003</v>
      </c>
      <c r="J45">
        <f t="shared" si="10"/>
        <v>4.0821858856784452</v>
      </c>
      <c r="L45">
        <f t="shared" si="11"/>
        <v>67.71900812737583</v>
      </c>
      <c r="Z45" s="11">
        <v>500</v>
      </c>
      <c r="AA45">
        <f t="shared" ref="AA45:AA49" si="22">AVERAGE(AH17:AI17)</f>
        <v>0.1605</v>
      </c>
      <c r="AB45">
        <f t="shared" si="13"/>
        <v>9.1499999999999998E-2</v>
      </c>
      <c r="AC45">
        <f t="shared" si="14"/>
        <v>405</v>
      </c>
      <c r="AD45">
        <f t="shared" si="15"/>
        <v>0.40500000000000003</v>
      </c>
    </row>
    <row r="46" spans="3:30" x14ac:dyDescent="0.25">
      <c r="C46" s="11">
        <v>500</v>
      </c>
      <c r="D46" s="11">
        <v>3</v>
      </c>
      <c r="E46">
        <f t="shared" si="21"/>
        <v>0.77449999999999997</v>
      </c>
      <c r="F46">
        <f t="shared" si="7"/>
        <v>0.77249999999999996</v>
      </c>
      <c r="G46">
        <f t="shared" si="8"/>
        <v>0.28517100000000006</v>
      </c>
      <c r="H46">
        <f t="shared" si="9"/>
        <v>1.9282840102378278</v>
      </c>
      <c r="I46" s="3">
        <v>0.41749999999999998</v>
      </c>
      <c r="J46">
        <f t="shared" si="10"/>
        <v>4.6186443358989893</v>
      </c>
      <c r="L46">
        <f t="shared" si="11"/>
        <v>76.618268270804307</v>
      </c>
      <c r="Z46" s="11">
        <v>500</v>
      </c>
      <c r="AA46">
        <f t="shared" si="22"/>
        <v>0.16300000000000001</v>
      </c>
      <c r="AB46">
        <f t="shared" si="13"/>
        <v>9.4E-2</v>
      </c>
      <c r="AC46">
        <f t="shared" si="14"/>
        <v>417.5</v>
      </c>
      <c r="AD46">
        <f t="shared" si="15"/>
        <v>0.41749999999999998</v>
      </c>
    </row>
    <row r="47" spans="3:30" x14ac:dyDescent="0.25">
      <c r="C47" s="11">
        <v>500</v>
      </c>
      <c r="D47" s="11">
        <v>4</v>
      </c>
      <c r="E47">
        <f t="shared" si="21"/>
        <v>0.76649999999999996</v>
      </c>
      <c r="F47">
        <f t="shared" si="7"/>
        <v>0.76449999999999996</v>
      </c>
      <c r="G47">
        <f t="shared" si="8"/>
        <v>0.3148702000000001</v>
      </c>
      <c r="H47">
        <f t="shared" si="9"/>
        <v>2.0647629564281793</v>
      </c>
      <c r="I47" s="3">
        <v>0.41249999999999998</v>
      </c>
      <c r="J47">
        <f t="shared" si="10"/>
        <v>5.0054859549774049</v>
      </c>
      <c r="L47">
        <f t="shared" si="11"/>
        <v>83.035548492727543</v>
      </c>
      <c r="Z47" s="11">
        <v>500</v>
      </c>
      <c r="AA47">
        <f t="shared" si="22"/>
        <v>0.16200000000000001</v>
      </c>
      <c r="AB47">
        <f t="shared" si="13"/>
        <v>9.2999999999999999E-2</v>
      </c>
      <c r="AC47">
        <f t="shared" si="14"/>
        <v>412.5</v>
      </c>
      <c r="AD47">
        <f t="shared" si="15"/>
        <v>0.41249999999999998</v>
      </c>
    </row>
    <row r="48" spans="3:30" x14ac:dyDescent="0.25">
      <c r="C48" s="11">
        <v>500</v>
      </c>
      <c r="D48" s="11">
        <v>5</v>
      </c>
      <c r="E48">
        <f t="shared" si="21"/>
        <v>0.78449999999999998</v>
      </c>
      <c r="F48">
        <f t="shared" si="7"/>
        <v>0.78249999999999997</v>
      </c>
      <c r="G48">
        <f t="shared" si="8"/>
        <v>0.24804700000000013</v>
      </c>
      <c r="H48">
        <f t="shared" si="9"/>
        <v>1.7703005325289776</v>
      </c>
      <c r="I48" s="3">
        <v>0.39750000000000002</v>
      </c>
      <c r="J48">
        <f t="shared" si="10"/>
        <v>4.4535862453559183</v>
      </c>
      <c r="L48">
        <f t="shared" si="11"/>
        <v>73.880134710010395</v>
      </c>
      <c r="Z48" s="11">
        <v>500</v>
      </c>
      <c r="AA48">
        <f t="shared" si="22"/>
        <v>0.159</v>
      </c>
      <c r="AB48">
        <f t="shared" si="13"/>
        <v>0.09</v>
      </c>
      <c r="AC48">
        <f t="shared" si="14"/>
        <v>397.5</v>
      </c>
      <c r="AD48">
        <f t="shared" si="15"/>
        <v>0.39750000000000002</v>
      </c>
    </row>
    <row r="49" spans="3:30" x14ac:dyDescent="0.25">
      <c r="C49" s="11">
        <v>500</v>
      </c>
      <c r="D49" s="11">
        <v>6</v>
      </c>
      <c r="E49">
        <f t="shared" si="21"/>
        <v>0.78350000000000009</v>
      </c>
      <c r="F49">
        <f t="shared" si="7"/>
        <v>0.78150000000000008</v>
      </c>
      <c r="G49">
        <f t="shared" si="8"/>
        <v>0.25175939999999963</v>
      </c>
      <c r="H49">
        <f t="shared" si="9"/>
        <v>1.7854981313123157</v>
      </c>
      <c r="I49" s="3">
        <v>0.45999999999999991</v>
      </c>
      <c r="J49">
        <f t="shared" si="10"/>
        <v>3.8815176767659043</v>
      </c>
      <c r="L49">
        <f>(J49/$N$26)*100</f>
        <v>64.390141571365021</v>
      </c>
      <c r="Z49" s="11">
        <v>500</v>
      </c>
      <c r="AA49">
        <f t="shared" si="22"/>
        <v>0.17149999999999999</v>
      </c>
      <c r="AB49">
        <f t="shared" si="13"/>
        <v>0.10249999999999998</v>
      </c>
      <c r="AC49">
        <f t="shared" si="14"/>
        <v>459.99999999999989</v>
      </c>
      <c r="AD49">
        <f t="shared" si="15"/>
        <v>0.45999999999999991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C80F-A197-4858-A8B7-B4B4B485B7E5}">
  <dimension ref="A3:AQ40"/>
  <sheetViews>
    <sheetView topLeftCell="A10" workbookViewId="0">
      <selection activeCell="N43" sqref="N43"/>
    </sheetView>
  </sheetViews>
  <sheetFormatPr defaultRowHeight="15" x14ac:dyDescent="0.25"/>
  <cols>
    <col min="1" max="1" width="4.28515625" customWidth="1"/>
    <col min="3" max="3" width="14.42578125" customWidth="1"/>
    <col min="9" max="9" width="15.140625" customWidth="1"/>
    <col min="10" max="10" width="15" customWidth="1"/>
    <col min="12" max="12" width="16.85546875" customWidth="1"/>
    <col min="30" max="30" width="14.7109375" customWidth="1"/>
  </cols>
  <sheetData>
    <row r="3" spans="1:43" x14ac:dyDescent="0.25">
      <c r="A3" t="s">
        <v>116</v>
      </c>
      <c r="AA3" t="s">
        <v>128</v>
      </c>
    </row>
    <row r="4" spans="1:43" x14ac:dyDescent="0.25">
      <c r="A4" t="s">
        <v>31</v>
      </c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11">
        <v>6</v>
      </c>
      <c r="AG4" s="11">
        <v>7</v>
      </c>
      <c r="AH4" s="11">
        <v>8</v>
      </c>
      <c r="AI4" s="11">
        <v>9</v>
      </c>
      <c r="AJ4" s="11">
        <v>10</v>
      </c>
      <c r="AK4" s="11">
        <v>11</v>
      </c>
      <c r="AL4" s="11">
        <v>12</v>
      </c>
    </row>
    <row r="5" spans="1:43" x14ac:dyDescent="0.25">
      <c r="A5" t="s">
        <v>166</v>
      </c>
      <c r="Z5" s="11" t="s">
        <v>38</v>
      </c>
      <c r="AA5" s="12">
        <v>0.70299999999999996</v>
      </c>
      <c r="AB5" s="13">
        <v>0.72699999999999998</v>
      </c>
      <c r="AC5" s="13">
        <v>8.7999999999999995E-2</v>
      </c>
      <c r="AD5" s="13">
        <v>8.7999999999999995E-2</v>
      </c>
      <c r="AE5" s="13">
        <v>9.0999999999999998E-2</v>
      </c>
      <c r="AF5" s="13">
        <v>9.1999999999999998E-2</v>
      </c>
      <c r="AG5" s="13">
        <v>9.0999999999999998E-2</v>
      </c>
      <c r="AH5" s="13">
        <v>9.4E-2</v>
      </c>
      <c r="AI5" s="13">
        <v>9.9000000000000005E-2</v>
      </c>
      <c r="AJ5" s="13">
        <v>0.1</v>
      </c>
      <c r="AK5" s="13"/>
      <c r="AL5" s="14"/>
      <c r="AO5">
        <v>2000</v>
      </c>
      <c r="AP5">
        <f>AVERAGE(AA5:AB5)</f>
        <v>0.71499999999999997</v>
      </c>
      <c r="AQ5">
        <f>AP5-$Q$22</f>
        <v>0.71499999999999997</v>
      </c>
    </row>
    <row r="6" spans="1:43" x14ac:dyDescent="0.25">
      <c r="A6" t="s">
        <v>141</v>
      </c>
      <c r="Z6" s="11" t="s">
        <v>40</v>
      </c>
      <c r="AA6" s="15">
        <v>0.39200000000000002</v>
      </c>
      <c r="AB6" s="16">
        <v>0.40300000000000002</v>
      </c>
      <c r="AC6" s="16">
        <v>8.5000000000000006E-2</v>
      </c>
      <c r="AD6" s="16">
        <v>8.5000000000000006E-2</v>
      </c>
      <c r="AE6" s="16">
        <v>9.0999999999999998E-2</v>
      </c>
      <c r="AF6" s="16">
        <v>0.09</v>
      </c>
      <c r="AG6" s="16">
        <v>9.0999999999999998E-2</v>
      </c>
      <c r="AH6" s="16"/>
      <c r="AI6" s="16">
        <v>9.7000000000000003E-2</v>
      </c>
      <c r="AJ6" s="16">
        <v>9.6000000000000002E-2</v>
      </c>
      <c r="AK6" s="16"/>
      <c r="AL6" s="17"/>
      <c r="AP6">
        <f t="shared" ref="AP6:AP12" si="0">AVERAGE(AA6:AB6)</f>
        <v>0.39750000000000002</v>
      </c>
    </row>
    <row r="7" spans="1:43" x14ac:dyDescent="0.25">
      <c r="A7" t="s">
        <v>167</v>
      </c>
      <c r="Z7" s="11" t="s">
        <v>41</v>
      </c>
      <c r="AA7" s="15">
        <v>0.27800000000000002</v>
      </c>
      <c r="AB7" s="16"/>
      <c r="AC7" s="16">
        <v>0.09</v>
      </c>
      <c r="AD7" s="16">
        <v>8.5999999999999993E-2</v>
      </c>
      <c r="AE7" s="16">
        <v>9.1999999999999998E-2</v>
      </c>
      <c r="AF7" s="16">
        <v>9.0999999999999998E-2</v>
      </c>
      <c r="AG7" s="16">
        <v>9.2999999999999999E-2</v>
      </c>
      <c r="AH7" s="16">
        <v>9.4E-2</v>
      </c>
      <c r="AI7" s="16">
        <v>9.9000000000000005E-2</v>
      </c>
      <c r="AJ7" s="16">
        <v>9.6000000000000002E-2</v>
      </c>
      <c r="AK7" s="16"/>
      <c r="AL7" s="17"/>
      <c r="AO7">
        <v>500</v>
      </c>
      <c r="AP7">
        <f t="shared" si="0"/>
        <v>0.27800000000000002</v>
      </c>
      <c r="AQ7">
        <f t="shared" ref="AQ7:AQ12" si="1">AP7-$Q$22</f>
        <v>0.27800000000000002</v>
      </c>
    </row>
    <row r="8" spans="1:43" x14ac:dyDescent="0.25">
      <c r="A8" t="s">
        <v>168</v>
      </c>
      <c r="Z8" s="11" t="s">
        <v>42</v>
      </c>
      <c r="AA8" s="15">
        <v>0.18099999999999999</v>
      </c>
      <c r="AB8" s="16">
        <v>0.188</v>
      </c>
      <c r="AC8" s="16">
        <v>8.7999999999999995E-2</v>
      </c>
      <c r="AD8" s="16">
        <v>8.5000000000000006E-2</v>
      </c>
      <c r="AE8" s="16">
        <v>9.4E-2</v>
      </c>
      <c r="AF8" s="16">
        <v>9.4E-2</v>
      </c>
      <c r="AG8" s="16">
        <v>9.6000000000000002E-2</v>
      </c>
      <c r="AH8" s="16">
        <v>9.4E-2</v>
      </c>
      <c r="AI8" s="16">
        <v>0.10199999999999999</v>
      </c>
      <c r="AJ8" s="16">
        <v>0.1</v>
      </c>
      <c r="AK8" s="16"/>
      <c r="AL8" s="17"/>
      <c r="AO8">
        <f t="shared" ref="AO8:AO11" si="2">AO7/2</f>
        <v>250</v>
      </c>
      <c r="AP8">
        <f t="shared" si="0"/>
        <v>0.1845</v>
      </c>
      <c r="AQ8">
        <f t="shared" si="1"/>
        <v>0.1845</v>
      </c>
    </row>
    <row r="9" spans="1:43" x14ac:dyDescent="0.25">
      <c r="A9" t="s">
        <v>125</v>
      </c>
      <c r="D9" t="s">
        <v>126</v>
      </c>
      <c r="Z9" s="11" t="s">
        <v>43</v>
      </c>
      <c r="AA9" s="15">
        <v>0.14099999999999999</v>
      </c>
      <c r="AB9" s="16">
        <v>0.14699999999999999</v>
      </c>
      <c r="AC9" s="16">
        <v>8.6999999999999994E-2</v>
      </c>
      <c r="AD9" s="16">
        <v>8.5999999999999993E-2</v>
      </c>
      <c r="AE9" s="16">
        <v>9.2999999999999999E-2</v>
      </c>
      <c r="AF9" s="16">
        <v>9.5000000000000001E-2</v>
      </c>
      <c r="AG9" s="16">
        <v>9.6000000000000002E-2</v>
      </c>
      <c r="AH9" s="16">
        <v>9.6000000000000002E-2</v>
      </c>
      <c r="AI9" s="16">
        <v>0.1</v>
      </c>
      <c r="AJ9" s="16">
        <v>9.9000000000000005E-2</v>
      </c>
      <c r="AK9" s="16"/>
      <c r="AL9" s="17"/>
      <c r="AO9">
        <f t="shared" si="2"/>
        <v>125</v>
      </c>
      <c r="AP9">
        <f t="shared" si="0"/>
        <v>0.14399999999999999</v>
      </c>
      <c r="AQ9">
        <f t="shared" si="1"/>
        <v>0.14399999999999999</v>
      </c>
    </row>
    <row r="10" spans="1:43" x14ac:dyDescent="0.25">
      <c r="Z10" s="11" t="s">
        <v>44</v>
      </c>
      <c r="AA10" s="15">
        <v>0.111</v>
      </c>
      <c r="AB10" s="16">
        <v>0.115</v>
      </c>
      <c r="AC10" s="16">
        <v>0.09</v>
      </c>
      <c r="AD10" s="16">
        <v>8.8999999999999996E-2</v>
      </c>
      <c r="AE10" s="16">
        <v>9.7000000000000003E-2</v>
      </c>
      <c r="AF10" s="16">
        <v>9.8000000000000004E-2</v>
      </c>
      <c r="AG10" s="16">
        <v>9.7000000000000003E-2</v>
      </c>
      <c r="AH10" s="16">
        <v>9.7000000000000003E-2</v>
      </c>
      <c r="AI10" s="16">
        <v>0.10199999999999999</v>
      </c>
      <c r="AJ10" s="16">
        <v>0.10100000000000001</v>
      </c>
      <c r="AK10" s="16"/>
      <c r="AL10" s="17"/>
      <c r="AO10">
        <f t="shared" si="2"/>
        <v>62.5</v>
      </c>
      <c r="AP10">
        <f t="shared" si="0"/>
        <v>0.113</v>
      </c>
      <c r="AQ10">
        <f t="shared" si="1"/>
        <v>0.113</v>
      </c>
    </row>
    <row r="11" spans="1:43" x14ac:dyDescent="0.25">
      <c r="Z11" s="11" t="s">
        <v>45</v>
      </c>
      <c r="AA11" s="15">
        <v>9.7000000000000003E-2</v>
      </c>
      <c r="AB11" s="16">
        <v>0.1</v>
      </c>
      <c r="AC11" s="16"/>
      <c r="AD11" s="16"/>
      <c r="AE11" s="16"/>
      <c r="AF11" s="16"/>
      <c r="AG11" s="16"/>
      <c r="AH11" s="16"/>
      <c r="AI11" s="16"/>
      <c r="AJ11" s="16"/>
      <c r="AK11" s="16"/>
      <c r="AL11" s="17"/>
      <c r="AO11">
        <f t="shared" si="2"/>
        <v>31.25</v>
      </c>
      <c r="AP11">
        <f t="shared" si="0"/>
        <v>9.8500000000000004E-2</v>
      </c>
      <c r="AQ11">
        <f>AP11-$Q$22</f>
        <v>9.8500000000000004E-2</v>
      </c>
    </row>
    <row r="12" spans="1:43" x14ac:dyDescent="0.25">
      <c r="Z12" s="11" t="s">
        <v>46</v>
      </c>
      <c r="AA12" s="18">
        <v>7.3999999999999996E-2</v>
      </c>
      <c r="AB12" s="19">
        <v>7.1999999999999995E-2</v>
      </c>
      <c r="AC12" s="19"/>
      <c r="AD12" s="19"/>
      <c r="AE12" s="19"/>
      <c r="AF12" s="19"/>
      <c r="AG12" s="19"/>
      <c r="AH12" s="19"/>
      <c r="AI12" s="19"/>
      <c r="AJ12" s="19"/>
      <c r="AK12" s="19"/>
      <c r="AL12" s="20"/>
      <c r="AO12">
        <v>0</v>
      </c>
      <c r="AP12">
        <f t="shared" si="0"/>
        <v>7.2999999999999995E-2</v>
      </c>
      <c r="AQ12">
        <f t="shared" si="1"/>
        <v>7.2999999999999995E-2</v>
      </c>
    </row>
    <row r="13" spans="1:43" x14ac:dyDescent="0.25">
      <c r="B13" t="s">
        <v>150</v>
      </c>
      <c r="AB13" s="1" t="s">
        <v>47</v>
      </c>
      <c r="AC13" s="1" t="s">
        <v>48</v>
      </c>
      <c r="AD13" s="1" t="s">
        <v>169</v>
      </c>
      <c r="AE13" s="1" t="s">
        <v>170</v>
      </c>
    </row>
    <row r="14" spans="1:43" x14ac:dyDescent="0.25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  <c r="L14" s="11">
        <v>11</v>
      </c>
      <c r="M14" s="11">
        <v>12</v>
      </c>
      <c r="Z14" s="159" t="s">
        <v>171</v>
      </c>
      <c r="AA14" s="11">
        <v>1</v>
      </c>
      <c r="AB14">
        <f>AVERAGE(AC6:AD6)</f>
        <v>8.5000000000000006E-2</v>
      </c>
      <c r="AC14">
        <f t="shared" ref="AC14:AC22" si="3">AB14-$AP$12</f>
        <v>1.2000000000000011E-2</v>
      </c>
      <c r="AD14" s="83">
        <f t="shared" ref="AD14:AD22" si="4">(AC14-0.01)/0.0005</f>
        <v>4.0000000000000204</v>
      </c>
      <c r="AE14">
        <f t="shared" ref="AE14:AE22" si="5">AD14/1000</f>
        <v>4.00000000000002E-3</v>
      </c>
    </row>
    <row r="15" spans="1:43" x14ac:dyDescent="0.25">
      <c r="A15" s="11" t="s">
        <v>38</v>
      </c>
      <c r="B15" s="12">
        <v>0.16300000000000001</v>
      </c>
      <c r="C15" s="13">
        <v>0.23100000000000001</v>
      </c>
      <c r="D15" s="13">
        <v>0.22900000000000001</v>
      </c>
      <c r="E15" s="13">
        <v>0.64600000000000002</v>
      </c>
      <c r="F15" s="13">
        <v>0.63</v>
      </c>
      <c r="G15" s="13">
        <v>0.49299999999999999</v>
      </c>
      <c r="H15" s="13">
        <v>0.57599999999999996</v>
      </c>
      <c r="I15" s="13">
        <v>0.34300000000000003</v>
      </c>
      <c r="J15" s="13">
        <v>0.34899999999999998</v>
      </c>
      <c r="K15" s="13">
        <v>0.38100000000000001</v>
      </c>
      <c r="L15" s="13">
        <v>0.374</v>
      </c>
      <c r="M15" s="14"/>
      <c r="O15" t="s">
        <v>154</v>
      </c>
      <c r="P15">
        <f>AVERAGE(C15:D15)</f>
        <v>0.23</v>
      </c>
      <c r="Q15">
        <f>P15-$C$26</f>
        <v>6.5500000000000003E-2</v>
      </c>
      <c r="R15">
        <v>200</v>
      </c>
      <c r="S15">
        <f>LOG(R15)</f>
        <v>2.3010299956639813</v>
      </c>
      <c r="Z15" s="159"/>
      <c r="AA15" s="11">
        <v>2</v>
      </c>
      <c r="AB15">
        <f>AVERAGE(AC8:AD8)</f>
        <v>8.6499999999999994E-2</v>
      </c>
      <c r="AC15">
        <f t="shared" si="3"/>
        <v>1.3499999999999998E-2</v>
      </c>
      <c r="AD15" s="83">
        <f t="shared" si="4"/>
        <v>6.9999999999999956</v>
      </c>
      <c r="AE15">
        <f t="shared" si="5"/>
        <v>6.9999999999999958E-3</v>
      </c>
    </row>
    <row r="16" spans="1:43" x14ac:dyDescent="0.25">
      <c r="A16" s="11" t="s">
        <v>40</v>
      </c>
      <c r="B16" s="15">
        <v>0.16500000000000001</v>
      </c>
      <c r="C16" s="16">
        <v>0.34699999999999998</v>
      </c>
      <c r="D16" s="16">
        <v>0.34599999999999997</v>
      </c>
      <c r="E16" s="16">
        <v>0.65400000000000003</v>
      </c>
      <c r="F16" s="16">
        <v>0.58699999999999997</v>
      </c>
      <c r="G16" s="16">
        <v>0.57699999999999996</v>
      </c>
      <c r="H16" s="16">
        <v>0.56999999999999995</v>
      </c>
      <c r="I16" s="16">
        <v>0.36</v>
      </c>
      <c r="J16" s="16">
        <v>0.34</v>
      </c>
      <c r="K16" s="16">
        <v>0.443</v>
      </c>
      <c r="L16" s="16">
        <v>0.47499999999999998</v>
      </c>
      <c r="M16" s="17"/>
      <c r="O16" t="s">
        <v>155</v>
      </c>
      <c r="P16">
        <f>AVERAGE(C16:D16)</f>
        <v>0.34649999999999997</v>
      </c>
      <c r="Q16">
        <f t="shared" ref="Q16:Q19" si="6">P16-$C$26</f>
        <v>0.18199999999999997</v>
      </c>
      <c r="R16">
        <v>52</v>
      </c>
      <c r="S16">
        <f t="shared" ref="S16:S19" si="7">LOG(R16)</f>
        <v>1.7160033436347992</v>
      </c>
      <c r="Z16" s="159"/>
      <c r="AA16" s="11">
        <v>3</v>
      </c>
      <c r="AB16">
        <f>AVERAGE(AC9:AD9)</f>
        <v>8.6499999999999994E-2</v>
      </c>
      <c r="AC16">
        <f t="shared" si="3"/>
        <v>1.3499999999999998E-2</v>
      </c>
      <c r="AD16" s="83">
        <f t="shared" si="4"/>
        <v>6.9999999999999956</v>
      </c>
      <c r="AE16">
        <f t="shared" si="5"/>
        <v>6.9999999999999958E-3</v>
      </c>
    </row>
    <row r="17" spans="1:31" x14ac:dyDescent="0.25">
      <c r="A17" s="11" t="s">
        <v>41</v>
      </c>
      <c r="B17" s="15">
        <v>0.372</v>
      </c>
      <c r="C17" s="16">
        <v>0.54100000000000004</v>
      </c>
      <c r="D17" s="16">
        <v>0.53100000000000003</v>
      </c>
      <c r="E17" s="16">
        <v>0.73699999999999999</v>
      </c>
      <c r="F17" s="16">
        <v>0.67</v>
      </c>
      <c r="G17" s="16">
        <v>0.54500000000000004</v>
      </c>
      <c r="H17" s="16">
        <v>0.53500000000000003</v>
      </c>
      <c r="I17" s="16">
        <v>0.373</v>
      </c>
      <c r="J17" s="16">
        <v>0.35199999999999998</v>
      </c>
      <c r="K17" s="16">
        <v>0.41199999999999998</v>
      </c>
      <c r="L17" s="16">
        <v>0.32900000000000001</v>
      </c>
      <c r="M17" s="17"/>
      <c r="O17" t="s">
        <v>156</v>
      </c>
      <c r="P17">
        <f t="shared" ref="P17:P19" si="8">AVERAGE(C17:D17)</f>
        <v>0.53600000000000003</v>
      </c>
      <c r="Q17">
        <f t="shared" si="6"/>
        <v>0.37150000000000005</v>
      </c>
      <c r="R17">
        <v>12.5</v>
      </c>
      <c r="S17">
        <f t="shared" si="7"/>
        <v>1.0969100130080565</v>
      </c>
      <c r="Z17" s="159" t="s">
        <v>172</v>
      </c>
      <c r="AA17" s="11">
        <v>7</v>
      </c>
      <c r="AB17">
        <f t="shared" ref="AB17:AB22" si="9">AVERAGE(AE5:AF5)</f>
        <v>9.1499999999999998E-2</v>
      </c>
      <c r="AC17">
        <f t="shared" si="3"/>
        <v>1.8500000000000003E-2</v>
      </c>
      <c r="AD17" s="83">
        <f t="shared" si="4"/>
        <v>17.000000000000004</v>
      </c>
      <c r="AE17">
        <f t="shared" si="5"/>
        <v>1.7000000000000005E-2</v>
      </c>
    </row>
    <row r="18" spans="1:31" x14ac:dyDescent="0.25">
      <c r="A18" s="11" t="s">
        <v>42</v>
      </c>
      <c r="B18" s="15">
        <v>0.36</v>
      </c>
      <c r="C18" s="16">
        <v>0.72899999999999998</v>
      </c>
      <c r="D18" s="16">
        <v>0.72099999999999997</v>
      </c>
      <c r="E18" s="16">
        <v>0.65400000000000003</v>
      </c>
      <c r="F18" s="16">
        <v>0.59499999999999997</v>
      </c>
      <c r="G18" s="16">
        <v>0.52600000000000002</v>
      </c>
      <c r="H18" s="16">
        <v>0.501</v>
      </c>
      <c r="I18" s="16">
        <v>0.38700000000000001</v>
      </c>
      <c r="J18" s="16">
        <v>0.39100000000000001</v>
      </c>
      <c r="K18" s="16">
        <v>0.41199999999999998</v>
      </c>
      <c r="L18" s="16">
        <v>0.41599999999999998</v>
      </c>
      <c r="M18" s="17"/>
      <c r="O18" t="s">
        <v>157</v>
      </c>
      <c r="P18">
        <f t="shared" si="8"/>
        <v>0.72499999999999998</v>
      </c>
      <c r="R18">
        <v>3.13</v>
      </c>
      <c r="Z18" s="159"/>
      <c r="AA18" s="11">
        <v>8</v>
      </c>
      <c r="AB18">
        <f t="shared" si="9"/>
        <v>9.0499999999999997E-2</v>
      </c>
      <c r="AC18">
        <f t="shared" si="3"/>
        <v>1.7500000000000002E-2</v>
      </c>
      <c r="AD18" s="83">
        <f t="shared" si="4"/>
        <v>15.000000000000002</v>
      </c>
      <c r="AE18">
        <f t="shared" si="5"/>
        <v>1.5000000000000001E-2</v>
      </c>
    </row>
    <row r="19" spans="1:31" x14ac:dyDescent="0.25">
      <c r="A19" s="11" t="s">
        <v>43</v>
      </c>
      <c r="B19" s="15">
        <v>0.16400000000000001</v>
      </c>
      <c r="C19" s="16">
        <v>0.872</v>
      </c>
      <c r="D19" s="16">
        <v>0.84499999999999997</v>
      </c>
      <c r="E19" s="16">
        <v>0.57999999999999996</v>
      </c>
      <c r="F19" s="16">
        <v>0.625</v>
      </c>
      <c r="G19" s="16">
        <v>0.55300000000000005</v>
      </c>
      <c r="H19" s="16">
        <v>0.53800000000000003</v>
      </c>
      <c r="I19" s="16">
        <v>0.39100000000000001</v>
      </c>
      <c r="J19" s="16">
        <v>0.40200000000000002</v>
      </c>
      <c r="K19" s="16">
        <v>0.442</v>
      </c>
      <c r="L19" s="16">
        <v>0.42899999999999999</v>
      </c>
      <c r="M19" s="17"/>
      <c r="O19" t="s">
        <v>158</v>
      </c>
      <c r="P19">
        <f t="shared" si="8"/>
        <v>0.85850000000000004</v>
      </c>
      <c r="Q19">
        <f t="shared" si="6"/>
        <v>0.69400000000000006</v>
      </c>
      <c r="R19">
        <v>0.78</v>
      </c>
      <c r="S19">
        <f t="shared" si="7"/>
        <v>-0.10790539730951958</v>
      </c>
      <c r="Z19" s="159"/>
      <c r="AA19" s="11">
        <v>9</v>
      </c>
      <c r="AB19">
        <f t="shared" si="9"/>
        <v>9.1499999999999998E-2</v>
      </c>
      <c r="AC19">
        <f t="shared" si="3"/>
        <v>1.8500000000000003E-2</v>
      </c>
      <c r="AD19" s="83">
        <f t="shared" si="4"/>
        <v>17.000000000000004</v>
      </c>
      <c r="AE19">
        <f t="shared" si="5"/>
        <v>1.7000000000000005E-2</v>
      </c>
    </row>
    <row r="20" spans="1:31" x14ac:dyDescent="0.25">
      <c r="A20" s="11" t="s">
        <v>44</v>
      </c>
      <c r="B20" s="15">
        <v>0.16500000000000001</v>
      </c>
      <c r="C20" s="16"/>
      <c r="D20" s="16"/>
      <c r="E20" s="16">
        <v>0.64500000000000002</v>
      </c>
      <c r="F20" s="16">
        <v>0.61399999999999999</v>
      </c>
      <c r="G20" s="16">
        <v>0.502</v>
      </c>
      <c r="H20" s="16">
        <v>0.49099999999999999</v>
      </c>
      <c r="I20" s="16">
        <v>0.372</v>
      </c>
      <c r="J20" s="16">
        <v>0.38200000000000001</v>
      </c>
      <c r="K20" s="16">
        <v>0.40300000000000002</v>
      </c>
      <c r="L20" s="16">
        <v>0.42299999999999999</v>
      </c>
      <c r="M20" s="17"/>
      <c r="Z20" s="159"/>
      <c r="AA20" s="11">
        <v>10</v>
      </c>
      <c r="AB20">
        <f t="shared" si="9"/>
        <v>9.4E-2</v>
      </c>
      <c r="AC20">
        <f t="shared" si="3"/>
        <v>2.1000000000000005E-2</v>
      </c>
      <c r="AD20" s="83">
        <f t="shared" si="4"/>
        <v>22.000000000000007</v>
      </c>
      <c r="AE20">
        <f t="shared" si="5"/>
        <v>2.2000000000000006E-2</v>
      </c>
    </row>
    <row r="21" spans="1:31" x14ac:dyDescent="0.25">
      <c r="A21" s="11" t="s">
        <v>45</v>
      </c>
      <c r="B21" s="15">
        <v>0.96699999999999997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Z21" s="159"/>
      <c r="AA21" s="11">
        <v>11</v>
      </c>
      <c r="AB21">
        <f t="shared" si="9"/>
        <v>9.4E-2</v>
      </c>
      <c r="AC21">
        <f t="shared" si="3"/>
        <v>2.1000000000000005E-2</v>
      </c>
      <c r="AD21" s="83">
        <f t="shared" si="4"/>
        <v>22.000000000000007</v>
      </c>
      <c r="AE21">
        <f t="shared" si="5"/>
        <v>2.2000000000000006E-2</v>
      </c>
    </row>
    <row r="22" spans="1:31" x14ac:dyDescent="0.25">
      <c r="A22" s="11" t="s">
        <v>46</v>
      </c>
      <c r="B22" s="18">
        <v>0.98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20"/>
      <c r="Z22" s="159"/>
      <c r="AA22" s="11">
        <v>12</v>
      </c>
      <c r="AB22">
        <f t="shared" si="9"/>
        <v>9.7500000000000003E-2</v>
      </c>
      <c r="AC22">
        <f t="shared" si="3"/>
        <v>2.4500000000000008E-2</v>
      </c>
      <c r="AD22" s="83">
        <f t="shared" si="4"/>
        <v>29.000000000000014</v>
      </c>
      <c r="AE22">
        <f t="shared" si="5"/>
        <v>2.9000000000000015E-2</v>
      </c>
    </row>
    <row r="24" spans="1:31" x14ac:dyDescent="0.25">
      <c r="B24" t="s">
        <v>173</v>
      </c>
      <c r="C24">
        <f>AVERAGE(B15:B16)</f>
        <v>0.16400000000000001</v>
      </c>
      <c r="D24">
        <f>C24-$C$25</f>
        <v>-0.20199999999999999</v>
      </c>
    </row>
    <row r="25" spans="1:31" x14ac:dyDescent="0.25">
      <c r="B25" t="s">
        <v>151</v>
      </c>
      <c r="C25">
        <f>AVERAGE(B17:B18)</f>
        <v>0.36599999999999999</v>
      </c>
      <c r="D25">
        <f t="shared" ref="D25:D27" si="10">C25-$C$25</f>
        <v>0</v>
      </c>
    </row>
    <row r="26" spans="1:31" x14ac:dyDescent="0.25">
      <c r="B26" t="s">
        <v>152</v>
      </c>
      <c r="C26">
        <f>AVERAGE(B19:B20)</f>
        <v>0.16450000000000001</v>
      </c>
      <c r="D26">
        <f>C26-$C$25</f>
        <v>-0.20149999999999998</v>
      </c>
    </row>
    <row r="27" spans="1:31" x14ac:dyDescent="0.25">
      <c r="B27" t="s">
        <v>153</v>
      </c>
      <c r="C27">
        <f>AVERAGE(B21:B22)</f>
        <v>0.97350000000000003</v>
      </c>
      <c r="D27">
        <f t="shared" si="10"/>
        <v>0.60750000000000004</v>
      </c>
      <c r="H27" s="1" t="s">
        <v>159</v>
      </c>
    </row>
    <row r="28" spans="1:31" x14ac:dyDescent="0.25">
      <c r="E28" s="11" t="s">
        <v>174</v>
      </c>
      <c r="F28" s="11" t="s">
        <v>175</v>
      </c>
      <c r="H28" s="1" t="s">
        <v>160</v>
      </c>
      <c r="I28" s="1" t="s">
        <v>176</v>
      </c>
      <c r="J28" s="1" t="s">
        <v>162</v>
      </c>
      <c r="K28" s="1" t="s">
        <v>6</v>
      </c>
      <c r="L28" s="1" t="s">
        <v>177</v>
      </c>
    </row>
    <row r="29" spans="1:31" x14ac:dyDescent="0.25">
      <c r="C29" s="159" t="s">
        <v>171</v>
      </c>
      <c r="D29" s="11">
        <v>1</v>
      </c>
      <c r="E29">
        <f>AVERAGE(E16)</f>
        <v>0.65400000000000003</v>
      </c>
      <c r="F29">
        <f t="shared" ref="F29:F37" si="11">E29-$C$26</f>
        <v>0.48950000000000005</v>
      </c>
      <c r="G29">
        <f t="shared" ref="G29:G37" si="12">(-3.7492*F29)+2.4822</f>
        <v>0.64696660000000006</v>
      </c>
      <c r="H29">
        <f t="shared" ref="H29:H37" si="13">10^G29</f>
        <v>4.435745289251483</v>
      </c>
      <c r="I29" s="3">
        <v>4.00000000000002E-3</v>
      </c>
      <c r="J29">
        <f t="shared" ref="J29:J37" si="14">H29/I29</f>
        <v>1108.9363223128653</v>
      </c>
      <c r="K29">
        <f>AVERAGE(J29:J31)</f>
        <v>971.61582516199815</v>
      </c>
      <c r="L29">
        <f>(J29/$K$29)*100</f>
        <v>114.13320919592593</v>
      </c>
    </row>
    <row r="30" spans="1:31" x14ac:dyDescent="0.25">
      <c r="C30" s="159"/>
      <c r="D30" s="11">
        <v>2</v>
      </c>
      <c r="E30">
        <f>AVERAGE(E18:F18)</f>
        <v>0.62450000000000006</v>
      </c>
      <c r="F30">
        <f t="shared" si="11"/>
        <v>0.46000000000000008</v>
      </c>
      <c r="G30">
        <f t="shared" si="12"/>
        <v>0.7575679999999998</v>
      </c>
      <c r="H30">
        <f t="shared" si="13"/>
        <v>5.7222654445949983</v>
      </c>
      <c r="I30" s="3">
        <v>6.9999999999999958E-3</v>
      </c>
      <c r="J30">
        <f t="shared" si="14"/>
        <v>817.46649208500025</v>
      </c>
      <c r="L30">
        <f t="shared" ref="L30:L37" si="15">(J30/$K$29)*100</f>
        <v>84.134744506523816</v>
      </c>
    </row>
    <row r="31" spans="1:31" x14ac:dyDescent="0.25">
      <c r="C31" s="159"/>
      <c r="D31" s="11">
        <v>3</v>
      </c>
      <c r="E31">
        <f>AVERAGE(E19:F19)</f>
        <v>0.60250000000000004</v>
      </c>
      <c r="F31">
        <f t="shared" si="11"/>
        <v>0.43800000000000006</v>
      </c>
      <c r="G31">
        <f t="shared" si="12"/>
        <v>0.84005039999999997</v>
      </c>
      <c r="H31">
        <f t="shared" si="13"/>
        <v>6.919112627616899</v>
      </c>
      <c r="I31" s="3">
        <v>6.9999999999999958E-3</v>
      </c>
      <c r="J31">
        <f t="shared" si="14"/>
        <v>988.44466108812901</v>
      </c>
      <c r="L31">
        <f t="shared" si="15"/>
        <v>101.73204629755026</v>
      </c>
    </row>
    <row r="32" spans="1:31" x14ac:dyDescent="0.25">
      <c r="C32" s="159" t="s">
        <v>172</v>
      </c>
      <c r="D32" s="11">
        <v>7</v>
      </c>
      <c r="E32">
        <f>AVERAGE(H15)</f>
        <v>0.57599999999999996</v>
      </c>
      <c r="F32">
        <f t="shared" si="11"/>
        <v>0.41149999999999998</v>
      </c>
      <c r="G32">
        <f t="shared" si="12"/>
        <v>0.93940420000000024</v>
      </c>
      <c r="H32">
        <f t="shared" si="13"/>
        <v>8.6976955147962958</v>
      </c>
      <c r="I32" s="3">
        <v>1.7000000000000005E-2</v>
      </c>
      <c r="J32">
        <f t="shared" si="14"/>
        <v>511.62914792919372</v>
      </c>
      <c r="L32">
        <f t="shared" si="15"/>
        <v>52.65755607097995</v>
      </c>
    </row>
    <row r="33" spans="3:12" x14ac:dyDescent="0.25">
      <c r="C33" s="159"/>
      <c r="D33" s="11">
        <v>8</v>
      </c>
      <c r="E33">
        <f>AVERAGE(G16:H16)</f>
        <v>0.5734999999999999</v>
      </c>
      <c r="F33">
        <f t="shared" si="11"/>
        <v>0.40899999999999992</v>
      </c>
      <c r="G33">
        <f t="shared" si="12"/>
        <v>0.94877720000000054</v>
      </c>
      <c r="H33">
        <f t="shared" si="13"/>
        <v>8.8874506048633481</v>
      </c>
      <c r="I33" s="3">
        <v>1.5000000000000001E-2</v>
      </c>
      <c r="J33">
        <f t="shared" si="14"/>
        <v>592.49670699088983</v>
      </c>
      <c r="L33">
        <f t="shared" si="15"/>
        <v>60.980553388177107</v>
      </c>
    </row>
    <row r="34" spans="3:12" x14ac:dyDescent="0.25">
      <c r="C34" s="159"/>
      <c r="D34" s="11">
        <v>9</v>
      </c>
      <c r="E34">
        <f>AVERAGE(G17:H17)</f>
        <v>0.54</v>
      </c>
      <c r="F34">
        <f t="shared" si="11"/>
        <v>0.37550000000000006</v>
      </c>
      <c r="G34">
        <f t="shared" si="12"/>
        <v>1.0743753999999999</v>
      </c>
      <c r="H34">
        <f t="shared" si="13"/>
        <v>11.867941584553433</v>
      </c>
      <c r="I34" s="3">
        <v>1.7000000000000005E-2</v>
      </c>
      <c r="J34">
        <f t="shared" si="14"/>
        <v>698.11421085608413</v>
      </c>
      <c r="L34">
        <f t="shared" si="15"/>
        <v>71.850848120931659</v>
      </c>
    </row>
    <row r="35" spans="3:12" x14ac:dyDescent="0.25">
      <c r="C35" s="159"/>
      <c r="D35" s="11">
        <v>10</v>
      </c>
      <c r="E35">
        <f>AVERAGE(G18:H18)</f>
        <v>0.51350000000000007</v>
      </c>
      <c r="F35">
        <f t="shared" si="11"/>
        <v>0.34900000000000009</v>
      </c>
      <c r="G35">
        <f t="shared" si="12"/>
        <v>1.1737291999999999</v>
      </c>
      <c r="H35">
        <f t="shared" si="13"/>
        <v>14.918638826289412</v>
      </c>
      <c r="I35" s="3">
        <v>2.2000000000000006E-2</v>
      </c>
      <c r="J35">
        <f t="shared" si="14"/>
        <v>678.11994664951851</v>
      </c>
      <c r="L35">
        <f t="shared" si="15"/>
        <v>69.793011711851761</v>
      </c>
    </row>
    <row r="36" spans="3:12" x14ac:dyDescent="0.25">
      <c r="C36" s="159"/>
      <c r="D36" s="11">
        <v>11</v>
      </c>
      <c r="E36">
        <f>AVERAGE(G19:H19)</f>
        <v>0.5455000000000001</v>
      </c>
      <c r="F36">
        <f t="shared" si="11"/>
        <v>0.38100000000000012</v>
      </c>
      <c r="G36">
        <f t="shared" si="12"/>
        <v>1.0537547999999997</v>
      </c>
      <c r="H36">
        <f t="shared" si="13"/>
        <v>11.317611973895104</v>
      </c>
      <c r="I36" s="3">
        <v>2.2000000000000006E-2</v>
      </c>
      <c r="J36">
        <f t="shared" si="14"/>
        <v>514.43690790432277</v>
      </c>
      <c r="L36">
        <f t="shared" si="15"/>
        <v>52.946534482242548</v>
      </c>
    </row>
    <row r="37" spans="3:12" x14ac:dyDescent="0.25">
      <c r="C37" s="159"/>
      <c r="D37" s="11">
        <v>12</v>
      </c>
      <c r="E37">
        <f>AVERAGE(G20:H20)</f>
        <v>0.4965</v>
      </c>
      <c r="F37">
        <f t="shared" si="11"/>
        <v>0.33199999999999996</v>
      </c>
      <c r="G37">
        <f t="shared" si="12"/>
        <v>1.2374656000000004</v>
      </c>
      <c r="H37">
        <f t="shared" si="13"/>
        <v>17.276891266856563</v>
      </c>
      <c r="I37" s="3">
        <v>2.9000000000000015E-2</v>
      </c>
      <c r="J37">
        <f t="shared" si="14"/>
        <v>595.7548712709156</v>
      </c>
      <c r="L37">
        <f t="shared" si="15"/>
        <v>61.315888012794048</v>
      </c>
    </row>
    <row r="38" spans="3:12" x14ac:dyDescent="0.25">
      <c r="C38" s="1"/>
    </row>
    <row r="39" spans="3:12" x14ac:dyDescent="0.25">
      <c r="C39" s="1"/>
    </row>
    <row r="40" spans="3:12" x14ac:dyDescent="0.25">
      <c r="C40" s="1"/>
    </row>
  </sheetData>
  <mergeCells count="4">
    <mergeCell ref="C29:C31"/>
    <mergeCell ref="C32:C37"/>
    <mergeCell ref="Z14:Z16"/>
    <mergeCell ref="Z17:Z2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AACD-F4DA-4C8A-8265-D5B2572815B4}">
  <dimension ref="A3:AR94"/>
  <sheetViews>
    <sheetView topLeftCell="Z1" workbookViewId="0">
      <selection activeCell="AA35" sqref="AA35"/>
    </sheetView>
  </sheetViews>
  <sheetFormatPr defaultRowHeight="15" x14ac:dyDescent="0.25"/>
  <cols>
    <col min="2" max="2" width="18.28515625" customWidth="1"/>
    <col min="9" max="9" width="16.28515625" customWidth="1"/>
    <col min="12" max="12" width="19.42578125" customWidth="1"/>
    <col min="19" max="19" width="16.140625" customWidth="1"/>
    <col min="26" max="26" width="16.85546875" customWidth="1"/>
    <col min="27" max="27" width="12.42578125" customWidth="1"/>
    <col min="33" max="33" width="10.28515625" customWidth="1"/>
    <col min="34" max="34" width="14.85546875" customWidth="1"/>
  </cols>
  <sheetData>
    <row r="3" spans="26:44" x14ac:dyDescent="0.25">
      <c r="AO3" s="1" t="s">
        <v>145</v>
      </c>
      <c r="AP3" s="1" t="s">
        <v>146</v>
      </c>
      <c r="AQ3" s="1" t="s">
        <v>148</v>
      </c>
    </row>
    <row r="4" spans="26:44" x14ac:dyDescent="0.25">
      <c r="Z4" s="160"/>
      <c r="AA4" s="160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t="s">
        <v>149</v>
      </c>
      <c r="AO4" s="24">
        <f>AVERAGE(AA7:AA8)</f>
        <v>0.26900000000000002</v>
      </c>
    </row>
    <row r="5" spans="26:44" x14ac:dyDescent="0.25">
      <c r="Z5" s="24"/>
      <c r="AA5" s="24" t="s">
        <v>150</v>
      </c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 t="s">
        <v>151</v>
      </c>
      <c r="AO5" s="24">
        <f>AVERAGE(AA9:AA10)-AO4</f>
        <v>0.19550000000000001</v>
      </c>
      <c r="AP5">
        <f>AO5-$P$6</f>
        <v>0.19550000000000001</v>
      </c>
      <c r="AQ5" s="24"/>
    </row>
    <row r="6" spans="26:44" x14ac:dyDescent="0.25">
      <c r="Z6" s="24"/>
      <c r="AA6" s="84">
        <v>1</v>
      </c>
      <c r="AB6" s="84">
        <v>2</v>
      </c>
      <c r="AC6" s="84">
        <v>3</v>
      </c>
      <c r="AD6" s="84">
        <v>4</v>
      </c>
      <c r="AE6" s="84">
        <v>5</v>
      </c>
      <c r="AF6" s="84">
        <v>6</v>
      </c>
      <c r="AG6" s="84">
        <v>7</v>
      </c>
      <c r="AH6" s="84">
        <v>8</v>
      </c>
      <c r="AI6" s="84">
        <v>9</v>
      </c>
      <c r="AJ6" s="84">
        <v>10</v>
      </c>
      <c r="AK6" s="84">
        <v>11</v>
      </c>
      <c r="AL6" s="84">
        <v>12</v>
      </c>
      <c r="AM6" s="24"/>
      <c r="AN6" s="24" t="s">
        <v>152</v>
      </c>
      <c r="AO6" s="24">
        <f>AVERAGE(AA11:AA12)-AO4</f>
        <v>-1.5000000000000013E-3</v>
      </c>
      <c r="AP6">
        <f t="shared" ref="AP6:AP12" si="0">AO6-$P$6</f>
        <v>-1.5000000000000013E-3</v>
      </c>
      <c r="AQ6" s="24"/>
    </row>
    <row r="7" spans="26:44" x14ac:dyDescent="0.25">
      <c r="Z7" s="84" t="s">
        <v>38</v>
      </c>
      <c r="AA7" s="12">
        <v>0.27</v>
      </c>
      <c r="AB7" s="13">
        <v>0.53</v>
      </c>
      <c r="AC7" s="13">
        <v>0.88100000000000001</v>
      </c>
      <c r="AD7" s="13">
        <v>0.48099999999999998</v>
      </c>
      <c r="AE7" s="13">
        <v>0.51400000000000001</v>
      </c>
      <c r="AF7" s="13">
        <v>0.45400000000000001</v>
      </c>
      <c r="AG7" s="13">
        <v>0.435</v>
      </c>
      <c r="AH7" s="13">
        <v>0.46</v>
      </c>
      <c r="AI7" s="13">
        <v>0.48699999999999999</v>
      </c>
      <c r="AJ7" s="13">
        <v>0.53200000000000003</v>
      </c>
      <c r="AK7" s="13">
        <v>0.51300000000000001</v>
      </c>
      <c r="AL7" s="14"/>
      <c r="AM7" s="24"/>
      <c r="AN7" s="24" t="s">
        <v>153</v>
      </c>
      <c r="AO7" s="24">
        <f>AVERAGE(AA13:AA14)-AO4</f>
        <v>0.59699999999999998</v>
      </c>
      <c r="AP7">
        <f t="shared" si="0"/>
        <v>0.59699999999999998</v>
      </c>
      <c r="AQ7" s="24"/>
    </row>
    <row r="8" spans="26:44" x14ac:dyDescent="0.25">
      <c r="Z8" s="84" t="s">
        <v>40</v>
      </c>
      <c r="AA8" s="15">
        <v>0.26800000000000002</v>
      </c>
      <c r="AB8" s="16">
        <v>0.53500000000000003</v>
      </c>
      <c r="AC8" s="16">
        <v>0.93200000000000005</v>
      </c>
      <c r="AD8" s="16">
        <v>0.46</v>
      </c>
      <c r="AE8" s="16">
        <v>0.47699999999999998</v>
      </c>
      <c r="AF8" s="16">
        <v>0.41699999999999998</v>
      </c>
      <c r="AG8" s="16">
        <v>0.42599999999999999</v>
      </c>
      <c r="AH8" s="16">
        <v>0.42</v>
      </c>
      <c r="AI8" s="16">
        <v>0.436</v>
      </c>
      <c r="AJ8" s="16">
        <v>0.47899999999999998</v>
      </c>
      <c r="AK8" s="16">
        <v>0.49399999999999999</v>
      </c>
      <c r="AL8" s="17"/>
      <c r="AM8" s="24"/>
      <c r="AN8" s="24" t="s">
        <v>154</v>
      </c>
      <c r="AO8" s="24">
        <f>AVERAGE(AB7:AB8)</f>
        <v>0.53249999999999997</v>
      </c>
      <c r="AP8">
        <f t="shared" si="0"/>
        <v>0.53249999999999997</v>
      </c>
      <c r="AQ8" s="24">
        <f>LOG(AR8)</f>
        <v>2.3010299956639813</v>
      </c>
      <c r="AR8">
        <v>200</v>
      </c>
    </row>
    <row r="9" spans="26:44" x14ac:dyDescent="0.25">
      <c r="Z9" s="84" t="s">
        <v>41</v>
      </c>
      <c r="AA9" s="15">
        <v>0.47799999999999998</v>
      </c>
      <c r="AB9" s="16">
        <v>0.69499999999999995</v>
      </c>
      <c r="AC9" s="16"/>
      <c r="AD9" s="16">
        <v>0.48799999999999999</v>
      </c>
      <c r="AE9" s="16">
        <v>0.50800000000000001</v>
      </c>
      <c r="AF9" s="16">
        <v>0.434</v>
      </c>
      <c r="AG9" s="16">
        <v>0.45100000000000001</v>
      </c>
      <c r="AH9" s="16">
        <v>0.45200000000000001</v>
      </c>
      <c r="AI9" s="16">
        <v>0.45600000000000002</v>
      </c>
      <c r="AJ9" s="16">
        <v>0.502</v>
      </c>
      <c r="AK9" s="16">
        <v>0.5</v>
      </c>
      <c r="AL9" s="17"/>
      <c r="AM9" s="24"/>
      <c r="AN9" s="24" t="s">
        <v>155</v>
      </c>
      <c r="AO9" s="24">
        <f>AVERAGE(AB9:AB10)</f>
        <v>0.69750000000000001</v>
      </c>
      <c r="AP9">
        <f t="shared" si="0"/>
        <v>0.69750000000000001</v>
      </c>
      <c r="AQ9" s="24">
        <f>LOG(AR9)</f>
        <v>1.6989700043360187</v>
      </c>
      <c r="AR9">
        <v>50</v>
      </c>
    </row>
    <row r="10" spans="26:44" x14ac:dyDescent="0.25">
      <c r="Z10" s="84" t="s">
        <v>42</v>
      </c>
      <c r="AA10" s="15">
        <v>0.45100000000000001</v>
      </c>
      <c r="AB10" s="16">
        <v>0.7</v>
      </c>
      <c r="AC10" s="16"/>
      <c r="AD10" s="16">
        <v>0.47699999999999998</v>
      </c>
      <c r="AE10" s="16">
        <v>0.48199999999999998</v>
      </c>
      <c r="AF10" s="16">
        <v>0.42899999999999999</v>
      </c>
      <c r="AG10" s="16">
        <v>0.44400000000000001</v>
      </c>
      <c r="AH10" s="16">
        <v>0.45200000000000001</v>
      </c>
      <c r="AI10" s="16">
        <v>0.46200000000000002</v>
      </c>
      <c r="AJ10" s="16">
        <v>0.51500000000000001</v>
      </c>
      <c r="AK10" s="16">
        <v>0.48699999999999999</v>
      </c>
      <c r="AL10" s="17"/>
      <c r="AM10" s="24"/>
      <c r="AN10" s="24" t="s">
        <v>156</v>
      </c>
      <c r="AO10" s="24">
        <f>AVERAGE(AB11:AB12)</f>
        <v>0.78550000000000009</v>
      </c>
      <c r="AP10">
        <f t="shared" si="0"/>
        <v>0.78550000000000009</v>
      </c>
      <c r="AQ10" s="24">
        <f t="shared" ref="AQ10:AQ12" si="1">LOG(AR10)</f>
        <v>1.0969100130080565</v>
      </c>
      <c r="AR10">
        <v>12.5</v>
      </c>
    </row>
    <row r="11" spans="26:44" x14ac:dyDescent="0.25">
      <c r="Z11" s="84" t="s">
        <v>43</v>
      </c>
      <c r="AA11" s="15">
        <v>0.26800000000000002</v>
      </c>
      <c r="AB11" s="16">
        <v>0.76300000000000001</v>
      </c>
      <c r="AC11" s="16"/>
      <c r="AD11" s="16">
        <v>0.434</v>
      </c>
      <c r="AE11" s="16">
        <v>0.45400000000000001</v>
      </c>
      <c r="AF11" s="16">
        <v>0.40699999999999997</v>
      </c>
      <c r="AG11" s="16">
        <v>0.41899999999999998</v>
      </c>
      <c r="AH11" s="16">
        <v>0.42499999999999999</v>
      </c>
      <c r="AI11" s="16">
        <v>0.434</v>
      </c>
      <c r="AJ11" s="16">
        <v>0.46300000000000002</v>
      </c>
      <c r="AK11" s="16">
        <v>0.46</v>
      </c>
      <c r="AL11" s="17"/>
      <c r="AM11" s="24"/>
      <c r="AN11" s="24" t="s">
        <v>157</v>
      </c>
      <c r="AO11" s="24">
        <f>AVERAGE(AB13:AB14)</f>
        <v>0.86</v>
      </c>
      <c r="AP11">
        <f t="shared" si="0"/>
        <v>0.86</v>
      </c>
      <c r="AQ11" s="24">
        <f t="shared" si="1"/>
        <v>0.49485002168009401</v>
      </c>
      <c r="AR11">
        <v>3.125</v>
      </c>
    </row>
    <row r="12" spans="26:44" x14ac:dyDescent="0.25">
      <c r="Z12" s="84" t="s">
        <v>44</v>
      </c>
      <c r="AA12" s="15">
        <v>0.26700000000000002</v>
      </c>
      <c r="AB12" s="16">
        <v>0.80800000000000005</v>
      </c>
      <c r="AC12" s="16"/>
      <c r="AD12" s="16">
        <v>0.497</v>
      </c>
      <c r="AE12" s="16">
        <v>0.47499999999999998</v>
      </c>
      <c r="AF12" s="16">
        <v>0.45600000000000002</v>
      </c>
      <c r="AG12" s="16">
        <v>0.47099999999999997</v>
      </c>
      <c r="AH12" s="16">
        <v>0.45500000000000002</v>
      </c>
      <c r="AI12" s="16">
        <v>0.438</v>
      </c>
      <c r="AJ12" s="16">
        <v>0.52500000000000002</v>
      </c>
      <c r="AK12" s="16">
        <v>0.502</v>
      </c>
      <c r="AL12" s="17"/>
      <c r="AM12" s="24"/>
      <c r="AN12" s="24" t="s">
        <v>158</v>
      </c>
      <c r="AO12" s="24">
        <f>AVERAGE(AC7:AC8)</f>
        <v>0.90650000000000008</v>
      </c>
      <c r="AP12">
        <f t="shared" si="0"/>
        <v>0.90650000000000008</v>
      </c>
      <c r="AQ12" s="24">
        <f t="shared" si="1"/>
        <v>-0.10734896612269966</v>
      </c>
      <c r="AR12">
        <v>0.78100000000000003</v>
      </c>
    </row>
    <row r="13" spans="26:44" x14ac:dyDescent="0.25">
      <c r="Z13" s="84" t="s">
        <v>45</v>
      </c>
      <c r="AA13" s="15">
        <v>0.88</v>
      </c>
      <c r="AB13" s="16">
        <v>0.85</v>
      </c>
      <c r="AC13" s="16"/>
      <c r="AD13" s="16"/>
      <c r="AE13" s="16"/>
      <c r="AF13" s="16"/>
      <c r="AG13" s="16"/>
      <c r="AH13" s="16"/>
      <c r="AI13" s="16"/>
      <c r="AJ13" s="16"/>
      <c r="AK13" s="16"/>
      <c r="AL13" s="17"/>
      <c r="AM13" s="24"/>
      <c r="AN13" s="24"/>
      <c r="AO13" s="24"/>
      <c r="AP13" s="24"/>
      <c r="AQ13" s="24"/>
    </row>
    <row r="14" spans="26:44" x14ac:dyDescent="0.25">
      <c r="Z14" s="84" t="s">
        <v>46</v>
      </c>
      <c r="AA14" s="18">
        <v>0.85199999999999998</v>
      </c>
      <c r="AB14" s="19">
        <v>0.87</v>
      </c>
      <c r="AC14" s="19"/>
      <c r="AD14" s="19"/>
      <c r="AE14" s="19"/>
      <c r="AF14" s="19"/>
      <c r="AG14" s="19"/>
      <c r="AH14" s="19"/>
      <c r="AI14" s="19"/>
      <c r="AJ14" s="19"/>
      <c r="AK14" s="19"/>
      <c r="AL14" s="20"/>
      <c r="AM14" s="24"/>
      <c r="AN14" s="24"/>
      <c r="AO14" s="24"/>
      <c r="AP14" s="24"/>
      <c r="AQ14" s="24"/>
    </row>
    <row r="20" spans="26:37" x14ac:dyDescent="0.25">
      <c r="AG20" t="s">
        <v>159</v>
      </c>
      <c r="AH20" t="s">
        <v>589</v>
      </c>
    </row>
    <row r="21" spans="26:37" x14ac:dyDescent="0.25">
      <c r="Z21" s="160"/>
      <c r="AA21" s="160"/>
      <c r="AB21" s="24"/>
      <c r="AC21" s="24"/>
      <c r="AD21" s="24"/>
      <c r="AE21" s="85" t="s">
        <v>159</v>
      </c>
      <c r="AF21" s="85" t="s">
        <v>181</v>
      </c>
      <c r="AG21" s="85" t="s">
        <v>182</v>
      </c>
      <c r="AH21" s="85" t="s">
        <v>183</v>
      </c>
      <c r="AI21" s="85" t="s">
        <v>162</v>
      </c>
      <c r="AJ21" s="85" t="s">
        <v>6</v>
      </c>
      <c r="AK21" s="85" t="s">
        <v>584</v>
      </c>
    </row>
    <row r="22" spans="26:37" x14ac:dyDescent="0.25">
      <c r="Z22" s="24"/>
      <c r="AA22" s="86" t="s">
        <v>585</v>
      </c>
      <c r="AB22" s="86">
        <v>1</v>
      </c>
      <c r="AC22" s="24">
        <f>AVERAGE(AD7)</f>
        <v>0.48099999999999998</v>
      </c>
      <c r="AD22" s="24">
        <f>AC22-$P$6</f>
        <v>0.48099999999999998</v>
      </c>
      <c r="AE22" s="24">
        <f>(-7.393*AD22)+6.8819</f>
        <v>3.3258670000000001</v>
      </c>
      <c r="AF22" s="24">
        <f>10^AE22</f>
        <v>2117.7124995732829</v>
      </c>
      <c r="AG22" s="24">
        <f>AF22*4</f>
        <v>8470.8499982931316</v>
      </c>
      <c r="AH22" s="24">
        <v>0.10933333333333332</v>
      </c>
      <c r="AI22" s="24">
        <f>AG22/AH22</f>
        <v>77477.286569754258</v>
      </c>
      <c r="AJ22">
        <f>AVERAGE(AI22:AI25)</f>
        <v>79275.538980889469</v>
      </c>
      <c r="AK22" s="24">
        <f>(AI22/$AJ$22)*100</f>
        <v>97.731642781301417</v>
      </c>
    </row>
    <row r="23" spans="26:37" x14ac:dyDescent="0.25">
      <c r="Z23" s="160"/>
      <c r="AA23" s="160"/>
      <c r="AB23" s="86">
        <v>2</v>
      </c>
      <c r="AC23" s="24">
        <f>AVERAGE(AD8:AE8)</f>
        <v>0.46850000000000003</v>
      </c>
      <c r="AD23" s="24">
        <f t="shared" ref="AD23:AD37" si="2">AC23-$P$6</f>
        <v>0.46850000000000003</v>
      </c>
      <c r="AE23" s="24">
        <f t="shared" ref="AE23:AE37" si="3">(-7.393*AD23)+6.8819</f>
        <v>3.4182794999999997</v>
      </c>
      <c r="AF23" s="24">
        <f t="shared" ref="AF23:AF37" si="4">10^AE23</f>
        <v>2619.8685412139225</v>
      </c>
      <c r="AG23" s="24">
        <f t="shared" ref="AG23:AG37" si="5">AF23*4</f>
        <v>10479.47416485569</v>
      </c>
      <c r="AH23" s="24">
        <v>0.10933333333333337</v>
      </c>
      <c r="AI23" s="24">
        <f t="shared" ref="AI23:AI37" si="6">AG23/AH23</f>
        <v>95848.84906880201</v>
      </c>
      <c r="AJ23" s="24"/>
      <c r="AK23" s="24">
        <f>(AI23/$AJ$22)*100</f>
        <v>120.90595699627823</v>
      </c>
    </row>
    <row r="24" spans="26:37" x14ac:dyDescent="0.25">
      <c r="Z24" s="160"/>
      <c r="AA24" s="160"/>
      <c r="AB24" s="86">
        <v>3</v>
      </c>
      <c r="AC24" s="24">
        <f>AVERAGE(AD10:AE10)</f>
        <v>0.47949999999999998</v>
      </c>
      <c r="AD24" s="24">
        <f t="shared" si="2"/>
        <v>0.47949999999999998</v>
      </c>
      <c r="AE24" s="24">
        <f t="shared" si="3"/>
        <v>3.3369565000000003</v>
      </c>
      <c r="AF24" s="24">
        <f t="shared" si="4"/>
        <v>2172.4835666856638</v>
      </c>
      <c r="AG24" s="24">
        <f t="shared" si="5"/>
        <v>8689.9342667426554</v>
      </c>
      <c r="AH24" s="24">
        <v>0.10933333333333337</v>
      </c>
      <c r="AI24" s="24">
        <f t="shared" si="6"/>
        <v>79481.106098255972</v>
      </c>
      <c r="AJ24" s="24"/>
      <c r="AK24" s="24">
        <f>(AI24/$AJ$22)*100</f>
        <v>100.25930712046758</v>
      </c>
    </row>
    <row r="25" spans="26:37" x14ac:dyDescent="0.25">
      <c r="Z25" s="160"/>
      <c r="AA25" s="160"/>
      <c r="AB25" s="86">
        <v>4</v>
      </c>
      <c r="AC25" s="24">
        <f>AVERAGE(AD12:AE12)</f>
        <v>0.48599999999999999</v>
      </c>
      <c r="AD25" s="24">
        <f t="shared" si="2"/>
        <v>0.48599999999999999</v>
      </c>
      <c r="AE25" s="24">
        <f t="shared" si="3"/>
        <v>3.2889020000000002</v>
      </c>
      <c r="AF25" s="24">
        <f t="shared" si="4"/>
        <v>1944.9211541490565</v>
      </c>
      <c r="AG25" s="24">
        <f t="shared" si="5"/>
        <v>7779.6846165962261</v>
      </c>
      <c r="AH25" s="24">
        <v>0.121</v>
      </c>
      <c r="AI25" s="24">
        <f t="shared" si="6"/>
        <v>64294.914186745671</v>
      </c>
      <c r="AJ25" s="24"/>
      <c r="AK25" s="24">
        <f>(AI25/$AJ$22)*100</f>
        <v>81.103093101952808</v>
      </c>
    </row>
    <row r="26" spans="26:37" x14ac:dyDescent="0.25">
      <c r="Z26" s="24"/>
      <c r="AA26" s="86" t="s">
        <v>586</v>
      </c>
      <c r="AB26" s="86">
        <v>1</v>
      </c>
      <c r="AC26" s="24">
        <f t="shared" ref="AC26" si="7">AVERAGE(AF7:AG7)</f>
        <v>0.44450000000000001</v>
      </c>
      <c r="AD26" s="24">
        <f t="shared" si="2"/>
        <v>0.44450000000000001</v>
      </c>
      <c r="AE26" s="24">
        <f t="shared" si="3"/>
        <v>3.5957115000000002</v>
      </c>
      <c r="AF26" s="24">
        <f t="shared" si="4"/>
        <v>3941.9535276204251</v>
      </c>
      <c r="AG26" s="24">
        <f t="shared" si="5"/>
        <v>15767.8141104817</v>
      </c>
      <c r="AH26" s="24">
        <v>0.14600000000000002</v>
      </c>
      <c r="AI26" s="24">
        <f t="shared" si="6"/>
        <v>107998.72678412122</v>
      </c>
      <c r="AJ26" s="24"/>
      <c r="AK26" s="24">
        <f>(AI26/$AJ$22)*100</f>
        <v>136.2320940008442</v>
      </c>
    </row>
    <row r="27" spans="26:37" x14ac:dyDescent="0.25">
      <c r="Z27" s="24"/>
      <c r="AA27" s="24"/>
      <c r="AB27" s="86">
        <v>2</v>
      </c>
      <c r="AC27" s="24">
        <f>AVERAGE(AF9:AG9)</f>
        <v>0.4425</v>
      </c>
      <c r="AD27" s="24">
        <f t="shared" si="2"/>
        <v>0.4425</v>
      </c>
      <c r="AE27" s="24">
        <f t="shared" si="3"/>
        <v>3.6104975000000001</v>
      </c>
      <c r="AF27" s="24">
        <f t="shared" si="4"/>
        <v>4078.4721400722524</v>
      </c>
      <c r="AG27" s="24">
        <f t="shared" si="5"/>
        <v>16313.88856028901</v>
      </c>
      <c r="AH27" s="24">
        <v>0.1526666666666667</v>
      </c>
      <c r="AI27" s="24">
        <f t="shared" si="6"/>
        <v>106859.5320542948</v>
      </c>
      <c r="AJ27" s="24"/>
      <c r="AK27" s="24">
        <f>(AI27/$AJ$22)*100</f>
        <v>134.79508739770898</v>
      </c>
    </row>
    <row r="28" spans="26:37" x14ac:dyDescent="0.25">
      <c r="Z28" s="24"/>
      <c r="AA28" s="24"/>
      <c r="AB28" s="86">
        <v>3</v>
      </c>
      <c r="AC28" s="24">
        <f>AVERAGE(AF10:AG10)</f>
        <v>0.4365</v>
      </c>
      <c r="AD28" s="24">
        <f t="shared" si="2"/>
        <v>0.4365</v>
      </c>
      <c r="AE28" s="24">
        <f t="shared" si="3"/>
        <v>3.6548555</v>
      </c>
      <c r="AF28" s="24">
        <f t="shared" si="4"/>
        <v>4517.0562627142999</v>
      </c>
      <c r="AG28" s="24">
        <f t="shared" si="5"/>
        <v>18068.2250508572</v>
      </c>
      <c r="AH28" s="24">
        <v>0.16766666666666671</v>
      </c>
      <c r="AI28" s="24">
        <f t="shared" si="6"/>
        <v>107762.77366316419</v>
      </c>
      <c r="AJ28" s="24"/>
      <c r="AK28" s="24">
        <f>(AI28/$AJ$22)*100</f>
        <v>135.93445727204957</v>
      </c>
    </row>
    <row r="29" spans="26:37" x14ac:dyDescent="0.25">
      <c r="Z29" s="24"/>
      <c r="AA29" s="24"/>
      <c r="AB29" s="86">
        <v>4</v>
      </c>
      <c r="AC29" s="24">
        <f>AVERAGE(AF12:AG12)</f>
        <v>0.46350000000000002</v>
      </c>
      <c r="AD29" s="24">
        <f t="shared" si="2"/>
        <v>0.46350000000000002</v>
      </c>
      <c r="AE29" s="24">
        <f t="shared" si="3"/>
        <v>3.4552445000000001</v>
      </c>
      <c r="AF29" s="24">
        <f t="shared" si="4"/>
        <v>2852.6237915258716</v>
      </c>
      <c r="AG29" s="24">
        <f t="shared" si="5"/>
        <v>11410.495166103487</v>
      </c>
      <c r="AH29" s="24">
        <v>0.15600000000000003</v>
      </c>
      <c r="AI29" s="24">
        <f t="shared" si="6"/>
        <v>73144.199782714641</v>
      </c>
      <c r="AJ29" s="24"/>
      <c r="AK29" s="24">
        <f>(AI29/$AJ$22)*100</f>
        <v>92.265786802593823</v>
      </c>
    </row>
    <row r="30" spans="26:37" x14ac:dyDescent="0.25">
      <c r="Z30" s="24"/>
      <c r="AA30" s="86" t="s">
        <v>587</v>
      </c>
      <c r="AB30" s="86">
        <v>1</v>
      </c>
      <c r="AC30" s="24">
        <f>AVERAGE(AH7)</f>
        <v>0.46</v>
      </c>
      <c r="AD30" s="24">
        <f t="shared" si="2"/>
        <v>0.46</v>
      </c>
      <c r="AE30" s="24">
        <f t="shared" si="3"/>
        <v>3.4811199999999998</v>
      </c>
      <c r="AF30" s="24">
        <f t="shared" si="4"/>
        <v>3027.7499107488102</v>
      </c>
      <c r="AG30" s="24">
        <f t="shared" si="5"/>
        <v>12110.999642995241</v>
      </c>
      <c r="AH30" s="24">
        <v>0.17766666666666675</v>
      </c>
      <c r="AI30" s="24">
        <f t="shared" si="6"/>
        <v>68166.977352693633</v>
      </c>
      <c r="AJ30" s="24"/>
      <c r="AK30" s="24">
        <f>(AI30/$AJ$22)*100</f>
        <v>85.987403212895572</v>
      </c>
    </row>
    <row r="31" spans="26:37" x14ac:dyDescent="0.25">
      <c r="Z31" s="24"/>
      <c r="AA31" s="86"/>
      <c r="AB31" s="86">
        <v>2</v>
      </c>
      <c r="AC31" s="24">
        <f t="shared" ref="AC31:AC32" si="8">AVERAGE(AH9:AI9)</f>
        <v>0.45400000000000001</v>
      </c>
      <c r="AD31" s="24">
        <f t="shared" si="2"/>
        <v>0.45400000000000001</v>
      </c>
      <c r="AE31" s="24">
        <f t="shared" si="3"/>
        <v>3.5254780000000001</v>
      </c>
      <c r="AF31" s="24">
        <f t="shared" si="4"/>
        <v>3353.3431703270962</v>
      </c>
      <c r="AG31" s="24">
        <f t="shared" si="5"/>
        <v>13413.372681308385</v>
      </c>
      <c r="AH31" s="24">
        <v>0.19099999999999998</v>
      </c>
      <c r="AI31" s="24">
        <f t="shared" si="6"/>
        <v>70227.082101091029</v>
      </c>
      <c r="AJ31" s="24"/>
      <c r="AK31" s="24">
        <f>(AI31/$AJ$22)*100</f>
        <v>88.586067031370547</v>
      </c>
    </row>
    <row r="32" spans="26:37" x14ac:dyDescent="0.25">
      <c r="Z32" s="24"/>
      <c r="AA32" s="24"/>
      <c r="AB32" s="86">
        <v>3</v>
      </c>
      <c r="AC32" s="24">
        <f t="shared" si="8"/>
        <v>0.45700000000000002</v>
      </c>
      <c r="AD32" s="24">
        <f t="shared" si="2"/>
        <v>0.45700000000000002</v>
      </c>
      <c r="AE32" s="24">
        <f t="shared" si="3"/>
        <v>3.5032989999999997</v>
      </c>
      <c r="AF32" s="24">
        <f t="shared" si="4"/>
        <v>3186.3905103844377</v>
      </c>
      <c r="AG32" s="24">
        <f t="shared" si="5"/>
        <v>12745.562041537751</v>
      </c>
      <c r="AH32" s="24">
        <v>0.19099999999999998</v>
      </c>
      <c r="AI32" s="24">
        <f t="shared" si="6"/>
        <v>66730.69131695159</v>
      </c>
      <c r="AJ32" s="24"/>
      <c r="AK32" s="24">
        <f>(AI32/$AJ$22)*100</f>
        <v>84.175638759186484</v>
      </c>
    </row>
    <row r="33" spans="1:37" x14ac:dyDescent="0.25">
      <c r="Z33" s="24"/>
      <c r="AA33" s="24"/>
      <c r="AB33" s="86">
        <v>4</v>
      </c>
      <c r="AC33" s="24">
        <f>AVERAGE(AH12:AI12)</f>
        <v>0.44650000000000001</v>
      </c>
      <c r="AD33" s="24">
        <f t="shared" si="2"/>
        <v>0.44650000000000001</v>
      </c>
      <c r="AE33" s="24">
        <f t="shared" si="3"/>
        <v>3.5809254999999998</v>
      </c>
      <c r="AF33" s="24">
        <f t="shared" si="4"/>
        <v>3810.0045998215055</v>
      </c>
      <c r="AG33" s="24">
        <f t="shared" si="5"/>
        <v>15240.018399286022</v>
      </c>
      <c r="AH33" s="24">
        <v>0.18766666666666673</v>
      </c>
      <c r="AI33" s="24">
        <f t="shared" si="6"/>
        <v>81207.913317687475</v>
      </c>
      <c r="AJ33" s="24"/>
      <c r="AK33" s="24">
        <f>(AI33/$AJ$22)*100</f>
        <v>102.43754172048433</v>
      </c>
    </row>
    <row r="34" spans="1:37" x14ac:dyDescent="0.25">
      <c r="Z34" s="24"/>
      <c r="AA34" s="86" t="s">
        <v>588</v>
      </c>
      <c r="AB34" s="86">
        <v>1</v>
      </c>
      <c r="AC34" s="24">
        <f>AVERAGE(AJ7:AK7)</f>
        <v>0.52249999999999996</v>
      </c>
      <c r="AD34" s="24">
        <f t="shared" si="2"/>
        <v>0.52249999999999996</v>
      </c>
      <c r="AE34" s="24">
        <f t="shared" si="3"/>
        <v>3.0190575000000002</v>
      </c>
      <c r="AF34" s="24">
        <f t="shared" si="4"/>
        <v>1044.8585479170447</v>
      </c>
      <c r="AG34" s="24">
        <f t="shared" si="5"/>
        <v>4179.4341916681788</v>
      </c>
      <c r="AH34" s="24">
        <v>0.1943333333333333</v>
      </c>
      <c r="AI34" s="24">
        <f t="shared" si="6"/>
        <v>21506.522427108986</v>
      </c>
      <c r="AJ34" s="24"/>
      <c r="AK34" s="24">
        <f>(AI34/$AJ$22)*100</f>
        <v>27.128825238631865</v>
      </c>
    </row>
    <row r="35" spans="1:37" x14ac:dyDescent="0.25">
      <c r="Z35" s="24"/>
      <c r="AA35" s="24"/>
      <c r="AB35" s="86">
        <v>3</v>
      </c>
      <c r="AC35" s="24">
        <f>AVERAGE(AJ9:AK9)</f>
        <v>0.501</v>
      </c>
      <c r="AD35" s="24">
        <f t="shared" si="2"/>
        <v>0.501</v>
      </c>
      <c r="AE35" s="24">
        <f t="shared" si="3"/>
        <v>3.178007</v>
      </c>
      <c r="AF35" s="24">
        <f t="shared" si="4"/>
        <v>1506.6313500192489</v>
      </c>
      <c r="AG35" s="24">
        <f t="shared" si="5"/>
        <v>6026.5254000769955</v>
      </c>
      <c r="AH35" s="24">
        <v>0.18933333333333341</v>
      </c>
      <c r="AI35" s="24">
        <f t="shared" si="6"/>
        <v>31830.239789139046</v>
      </c>
      <c r="AJ35" s="24"/>
      <c r="AK35" s="24">
        <f>(AI35/$AJ$22)*100</f>
        <v>40.151401300232337</v>
      </c>
    </row>
    <row r="36" spans="1:37" x14ac:dyDescent="0.25">
      <c r="Z36" s="24"/>
      <c r="AA36" s="24"/>
      <c r="AB36" s="86">
        <v>4</v>
      </c>
      <c r="AC36" s="24">
        <f>AVERAGE(AJ10:AK10)</f>
        <v>0.501</v>
      </c>
      <c r="AD36" s="24">
        <f t="shared" si="2"/>
        <v>0.501</v>
      </c>
      <c r="AE36" s="24">
        <f t="shared" si="3"/>
        <v>3.178007</v>
      </c>
      <c r="AF36" s="24">
        <f t="shared" si="4"/>
        <v>1506.6313500192489</v>
      </c>
      <c r="AG36" s="24">
        <f t="shared" si="5"/>
        <v>6026.5254000769955</v>
      </c>
      <c r="AH36" s="24">
        <v>0.29599999999999999</v>
      </c>
      <c r="AI36" s="24">
        <f t="shared" si="6"/>
        <v>20359.883108368231</v>
      </c>
      <c r="AJ36" s="24"/>
      <c r="AK36" s="24">
        <f>(AI36/$AJ$22)*100</f>
        <v>25.682427858707186</v>
      </c>
    </row>
    <row r="37" spans="1:37" x14ac:dyDescent="0.25">
      <c r="Z37" s="24"/>
      <c r="AA37" s="24"/>
      <c r="AB37" s="86">
        <v>6</v>
      </c>
      <c r="AC37" s="24">
        <f>AVERAGE(AJ12:AK12)</f>
        <v>0.51350000000000007</v>
      </c>
      <c r="AD37" s="24">
        <f t="shared" si="2"/>
        <v>0.51350000000000007</v>
      </c>
      <c r="AE37" s="24">
        <f t="shared" si="3"/>
        <v>3.0855944999999996</v>
      </c>
      <c r="AF37" s="24">
        <f t="shared" si="4"/>
        <v>1217.8519616508495</v>
      </c>
      <c r="AG37" s="24">
        <f t="shared" si="5"/>
        <v>4871.407846603398</v>
      </c>
      <c r="AH37" s="24">
        <v>0.27766666666666673</v>
      </c>
      <c r="AI37" s="24">
        <f t="shared" si="6"/>
        <v>17544.08588212508</v>
      </c>
      <c r="AJ37" s="24"/>
      <c r="AK37" s="24">
        <f>(AI37/$AJ$22)*100</f>
        <v>22.130516055342543</v>
      </c>
    </row>
    <row r="43" spans="1:37" x14ac:dyDescent="0.25">
      <c r="Z43" t="s">
        <v>116</v>
      </c>
    </row>
    <row r="44" spans="1:37" x14ac:dyDescent="0.25">
      <c r="P44" s="1" t="s">
        <v>145</v>
      </c>
      <c r="Q44" s="1" t="s">
        <v>146</v>
      </c>
      <c r="R44" s="1" t="s">
        <v>147</v>
      </c>
      <c r="S44" s="1" t="s">
        <v>148</v>
      </c>
      <c r="Z44" t="s">
        <v>31</v>
      </c>
    </row>
    <row r="45" spans="1:37" x14ac:dyDescent="0.25">
      <c r="A45" s="160"/>
      <c r="B45" s="160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t="s">
        <v>149</v>
      </c>
      <c r="P45" s="24">
        <f>AVERAGE(B48:B49)</f>
        <v>0.26900000000000002</v>
      </c>
      <c r="Z45" t="s">
        <v>178</v>
      </c>
    </row>
    <row r="46" spans="1:37" x14ac:dyDescent="0.25">
      <c r="A46" s="24"/>
      <c r="B46" s="24" t="s">
        <v>150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 t="s">
        <v>151</v>
      </c>
      <c r="P46" s="24">
        <f>AVERAGE(B50:B51)-P45</f>
        <v>0.19550000000000001</v>
      </c>
      <c r="Q46">
        <f>P46-$P$47</f>
        <v>0.19700000000000001</v>
      </c>
      <c r="R46" s="24"/>
      <c r="S46" s="24"/>
      <c r="Z46" t="s">
        <v>120</v>
      </c>
    </row>
    <row r="47" spans="1:37" x14ac:dyDescent="0.25">
      <c r="A47" s="24"/>
      <c r="B47" s="84">
        <v>1</v>
      </c>
      <c r="C47" s="84">
        <v>2</v>
      </c>
      <c r="D47" s="84">
        <v>3</v>
      </c>
      <c r="E47" s="84">
        <v>4</v>
      </c>
      <c r="F47" s="84">
        <v>5</v>
      </c>
      <c r="G47" s="84">
        <v>6</v>
      </c>
      <c r="H47" s="84">
        <v>7</v>
      </c>
      <c r="I47" s="84">
        <v>8</v>
      </c>
      <c r="J47" s="84">
        <v>9</v>
      </c>
      <c r="K47" s="84">
        <v>10</v>
      </c>
      <c r="L47" s="84">
        <v>11</v>
      </c>
      <c r="M47" s="84">
        <v>12</v>
      </c>
      <c r="N47" s="24"/>
      <c r="O47" s="24" t="s">
        <v>152</v>
      </c>
      <c r="P47" s="24">
        <f>AVERAGE(B52:B53)-P45</f>
        <v>-1.5000000000000013E-3</v>
      </c>
      <c r="Q47">
        <f t="shared" ref="Q47:Q53" si="9">P47-$P$47</f>
        <v>0</v>
      </c>
      <c r="R47" s="24"/>
      <c r="S47" s="24"/>
      <c r="Z47" t="s">
        <v>179</v>
      </c>
    </row>
    <row r="48" spans="1:37" x14ac:dyDescent="0.25">
      <c r="A48" s="84" t="s">
        <v>38</v>
      </c>
      <c r="B48" s="12">
        <v>0.27</v>
      </c>
      <c r="C48" s="13">
        <v>0.53</v>
      </c>
      <c r="D48" s="13">
        <v>0.88100000000000001</v>
      </c>
      <c r="E48" s="13">
        <v>0.48099999999999998</v>
      </c>
      <c r="F48" s="13">
        <v>0.51400000000000001</v>
      </c>
      <c r="G48" s="13">
        <v>0.45400000000000001</v>
      </c>
      <c r="H48" s="13">
        <v>0.435</v>
      </c>
      <c r="I48" s="13">
        <v>0.46</v>
      </c>
      <c r="J48" s="13">
        <v>0.48699999999999999</v>
      </c>
      <c r="K48" s="13">
        <v>0.53200000000000003</v>
      </c>
      <c r="L48" s="13">
        <v>0.51300000000000001</v>
      </c>
      <c r="M48" s="14"/>
      <c r="N48" s="24"/>
      <c r="O48" s="24" t="s">
        <v>153</v>
      </c>
      <c r="P48" s="24">
        <f>AVERAGE(B54:B55)-P45</f>
        <v>0.59699999999999998</v>
      </c>
      <c r="Q48">
        <f t="shared" si="9"/>
        <v>0.59850000000000003</v>
      </c>
      <c r="R48" s="24"/>
      <c r="S48" s="24"/>
      <c r="Z48" t="s">
        <v>180</v>
      </c>
    </row>
    <row r="49" spans="1:42" x14ac:dyDescent="0.25">
      <c r="A49" s="84" t="s">
        <v>40</v>
      </c>
      <c r="B49" s="15">
        <v>0.26800000000000002</v>
      </c>
      <c r="C49" s="16">
        <v>0.53500000000000003</v>
      </c>
      <c r="D49" s="16">
        <v>0.93200000000000005</v>
      </c>
      <c r="E49" s="16">
        <v>0.46</v>
      </c>
      <c r="F49" s="16">
        <v>0.47699999999999998</v>
      </c>
      <c r="G49" s="16">
        <v>0.41699999999999998</v>
      </c>
      <c r="H49" s="16">
        <v>0.42599999999999999</v>
      </c>
      <c r="I49" s="16">
        <v>0.42</v>
      </c>
      <c r="J49" s="16">
        <v>0.436</v>
      </c>
      <c r="K49" s="16">
        <v>0.47899999999999998</v>
      </c>
      <c r="L49" s="16">
        <v>0.49399999999999999</v>
      </c>
      <c r="M49" s="17"/>
      <c r="N49" s="24"/>
      <c r="O49" s="24" t="s">
        <v>154</v>
      </c>
      <c r="P49" s="24">
        <f>AVERAGE(C48:C49)</f>
        <v>0.53249999999999997</v>
      </c>
      <c r="Q49">
        <f t="shared" si="9"/>
        <v>0.53400000000000003</v>
      </c>
      <c r="R49" s="24">
        <f>(Q49/$Q$48)*100</f>
        <v>89.22305764411027</v>
      </c>
      <c r="S49" s="24">
        <f>LOG(T49)</f>
        <v>2.3010299956639813</v>
      </c>
      <c r="T49">
        <v>200</v>
      </c>
      <c r="Z49" t="s">
        <v>125</v>
      </c>
      <c r="AC49" t="s">
        <v>126</v>
      </c>
    </row>
    <row r="50" spans="1:42" x14ac:dyDescent="0.25">
      <c r="A50" s="84" t="s">
        <v>41</v>
      </c>
      <c r="B50" s="15">
        <v>0.47799999999999998</v>
      </c>
      <c r="C50" s="16">
        <v>0.69499999999999995</v>
      </c>
      <c r="D50" s="16"/>
      <c r="E50" s="16">
        <v>0.48799999999999999</v>
      </c>
      <c r="F50" s="16">
        <v>0.50800000000000001</v>
      </c>
      <c r="G50" s="16">
        <v>0.434</v>
      </c>
      <c r="H50" s="16">
        <v>0.45100000000000001</v>
      </c>
      <c r="I50" s="16">
        <v>0.45200000000000001</v>
      </c>
      <c r="J50" s="16">
        <v>0.45600000000000002</v>
      </c>
      <c r="K50" s="16">
        <v>0.502</v>
      </c>
      <c r="L50" s="16">
        <v>0.5</v>
      </c>
      <c r="M50" s="17"/>
      <c r="N50" s="24"/>
      <c r="O50" s="24" t="s">
        <v>155</v>
      </c>
      <c r="P50" s="24">
        <f>AVERAGE(C50:C51)</f>
        <v>0.69750000000000001</v>
      </c>
      <c r="Q50">
        <f t="shared" si="9"/>
        <v>0.69900000000000007</v>
      </c>
      <c r="R50" s="24">
        <f>(Q50/$Q$48)*100</f>
        <v>116.79197994987469</v>
      </c>
      <c r="S50" s="24">
        <f>LOG(T50)</f>
        <v>1.6989700043360187</v>
      </c>
      <c r="T50">
        <v>50</v>
      </c>
    </row>
    <row r="51" spans="1:42" x14ac:dyDescent="0.25">
      <c r="A51" s="84" t="s">
        <v>42</v>
      </c>
      <c r="B51" s="15">
        <v>0.45100000000000001</v>
      </c>
      <c r="C51" s="16">
        <v>0.7</v>
      </c>
      <c r="D51" s="16"/>
      <c r="E51" s="16">
        <v>0.47699999999999998</v>
      </c>
      <c r="F51" s="16">
        <v>0.48199999999999998</v>
      </c>
      <c r="G51" s="16">
        <v>0.42899999999999999</v>
      </c>
      <c r="H51" s="16">
        <v>0.44400000000000001</v>
      </c>
      <c r="I51" s="16">
        <v>0.45200000000000001</v>
      </c>
      <c r="J51" s="16">
        <v>0.46200000000000002</v>
      </c>
      <c r="K51" s="16">
        <v>0.51500000000000001</v>
      </c>
      <c r="L51" s="16">
        <v>0.48699999999999999</v>
      </c>
      <c r="M51" s="17"/>
      <c r="N51" s="24"/>
      <c r="O51" s="24" t="s">
        <v>156</v>
      </c>
      <c r="P51" s="24">
        <f>AVERAGE(C52:C53)</f>
        <v>0.78550000000000009</v>
      </c>
      <c r="Q51">
        <f t="shared" si="9"/>
        <v>0.78700000000000014</v>
      </c>
      <c r="R51" s="24">
        <f>(Q51/$Q$48)*100</f>
        <v>131.49540517961574</v>
      </c>
      <c r="S51" s="24">
        <f t="shared" ref="S51:S53" si="10">LOG(T51)</f>
        <v>1.0969100130080565</v>
      </c>
      <c r="T51">
        <v>12.5</v>
      </c>
    </row>
    <row r="52" spans="1:42" x14ac:dyDescent="0.25">
      <c r="A52" s="84" t="s">
        <v>43</v>
      </c>
      <c r="B52" s="15">
        <v>0.26800000000000002</v>
      </c>
      <c r="C52" s="16">
        <v>0.76300000000000001</v>
      </c>
      <c r="D52" s="16"/>
      <c r="E52" s="16">
        <v>0.434</v>
      </c>
      <c r="F52" s="16">
        <v>0.45400000000000001</v>
      </c>
      <c r="G52" s="16">
        <v>0.40699999999999997</v>
      </c>
      <c r="H52" s="16">
        <v>0.41899999999999998</v>
      </c>
      <c r="I52" s="16">
        <v>0.42499999999999999</v>
      </c>
      <c r="J52" s="16">
        <v>0.434</v>
      </c>
      <c r="K52" s="16">
        <v>0.46300000000000002</v>
      </c>
      <c r="L52" s="16">
        <v>0.46</v>
      </c>
      <c r="M52" s="17"/>
      <c r="N52" s="24"/>
      <c r="O52" s="24" t="s">
        <v>157</v>
      </c>
      <c r="P52" s="24">
        <f>AVERAGE(C54:C55)</f>
        <v>0.86</v>
      </c>
      <c r="Q52">
        <f t="shared" si="9"/>
        <v>0.86149999999999993</v>
      </c>
      <c r="R52" s="24">
        <f>(Q52/$Q$48)*100</f>
        <v>143.94319131161234</v>
      </c>
      <c r="S52" s="24">
        <f t="shared" si="10"/>
        <v>0.49485002168009401</v>
      </c>
      <c r="T52">
        <v>3.125</v>
      </c>
    </row>
    <row r="53" spans="1:42" x14ac:dyDescent="0.25">
      <c r="A53" s="84" t="s">
        <v>44</v>
      </c>
      <c r="B53" s="15">
        <v>0.26700000000000002</v>
      </c>
      <c r="C53" s="16">
        <v>0.80800000000000005</v>
      </c>
      <c r="D53" s="16"/>
      <c r="E53" s="16">
        <v>0.497</v>
      </c>
      <c r="F53" s="16">
        <v>0.47499999999999998</v>
      </c>
      <c r="G53" s="16">
        <v>0.45600000000000002</v>
      </c>
      <c r="H53" s="16">
        <v>0.47099999999999997</v>
      </c>
      <c r="I53" s="16">
        <v>0.45500000000000002</v>
      </c>
      <c r="J53" s="16">
        <v>0.438</v>
      </c>
      <c r="K53" s="16">
        <v>0.52500000000000002</v>
      </c>
      <c r="L53" s="16">
        <v>0.502</v>
      </c>
      <c r="M53" s="17"/>
      <c r="N53" s="24"/>
      <c r="O53" s="24" t="s">
        <v>158</v>
      </c>
      <c r="P53" s="24">
        <f>AVERAGE(D48:D49)</f>
        <v>0.90650000000000008</v>
      </c>
      <c r="Q53">
        <f t="shared" si="9"/>
        <v>0.90800000000000014</v>
      </c>
      <c r="R53" s="24">
        <f>(Q53/$Q$48)*100</f>
        <v>151.71261487050961</v>
      </c>
      <c r="S53" s="24">
        <f t="shared" si="10"/>
        <v>-0.10734896612269966</v>
      </c>
      <c r="T53">
        <v>0.78100000000000003</v>
      </c>
      <c r="AA53" t="s">
        <v>128</v>
      </c>
    </row>
    <row r="54" spans="1:42" x14ac:dyDescent="0.25">
      <c r="A54" s="84" t="s">
        <v>45</v>
      </c>
      <c r="B54" s="15">
        <v>0.88</v>
      </c>
      <c r="C54" s="16">
        <v>0.85</v>
      </c>
      <c r="D54" s="16"/>
      <c r="E54" s="16"/>
      <c r="F54" s="16"/>
      <c r="G54" s="16"/>
      <c r="H54" s="16"/>
      <c r="I54" s="16"/>
      <c r="J54" s="16"/>
      <c r="K54" s="16"/>
      <c r="L54" s="16"/>
      <c r="M54" s="17"/>
      <c r="N54" s="24"/>
      <c r="O54" s="24"/>
      <c r="P54" s="24"/>
      <c r="Q54" s="24"/>
      <c r="R54" s="24"/>
      <c r="S54" s="24"/>
      <c r="AA54" s="11">
        <v>1</v>
      </c>
      <c r="AB54" s="11">
        <v>2</v>
      </c>
      <c r="AC54" s="11">
        <v>3</v>
      </c>
      <c r="AD54" s="11">
        <v>4</v>
      </c>
      <c r="AE54" s="11">
        <v>5</v>
      </c>
      <c r="AF54" s="11">
        <v>6</v>
      </c>
      <c r="AG54" s="11">
        <v>7</v>
      </c>
      <c r="AH54" s="11">
        <v>8</v>
      </c>
      <c r="AI54" s="11">
        <v>9</v>
      </c>
      <c r="AJ54" s="11">
        <v>10</v>
      </c>
      <c r="AK54" s="11">
        <v>11</v>
      </c>
      <c r="AL54" s="11">
        <v>12</v>
      </c>
    </row>
    <row r="55" spans="1:42" x14ac:dyDescent="0.25">
      <c r="A55" s="84" t="s">
        <v>46</v>
      </c>
      <c r="B55" s="18">
        <v>0.85199999999999998</v>
      </c>
      <c r="C55" s="19">
        <v>0.87</v>
      </c>
      <c r="D55" s="19"/>
      <c r="E55" s="19"/>
      <c r="F55" s="19"/>
      <c r="G55" s="19"/>
      <c r="H55" s="19"/>
      <c r="I55" s="19"/>
      <c r="J55" s="19"/>
      <c r="K55" s="19"/>
      <c r="L55" s="19"/>
      <c r="M55" s="20"/>
      <c r="N55" s="24"/>
      <c r="O55" s="24"/>
      <c r="P55" s="24"/>
      <c r="Q55" s="24"/>
      <c r="R55" s="24"/>
      <c r="S55" s="24"/>
      <c r="Z55" s="11" t="s">
        <v>38</v>
      </c>
      <c r="AA55" s="12">
        <v>0.75</v>
      </c>
      <c r="AB55" s="13">
        <v>0.752</v>
      </c>
      <c r="AC55" s="13">
        <v>0.11799999999999999</v>
      </c>
      <c r="AD55" s="13">
        <v>0.11600000000000001</v>
      </c>
      <c r="AE55" s="13">
        <v>0.13200000000000001</v>
      </c>
      <c r="AF55" s="13">
        <v>0.128</v>
      </c>
      <c r="AG55" s="13">
        <v>0.13900000000000001</v>
      </c>
      <c r="AH55" s="13">
        <v>0.13900000000000001</v>
      </c>
      <c r="AI55" s="13">
        <v>7.2999999999999995E-2</v>
      </c>
      <c r="AJ55" s="13">
        <v>7.5999999999999998E-2</v>
      </c>
      <c r="AK55" s="13"/>
      <c r="AL55" s="14"/>
      <c r="AO55">
        <v>2000</v>
      </c>
      <c r="AP55">
        <f>AVERAGE(AA55:AB55)</f>
        <v>0.751</v>
      </c>
    </row>
    <row r="56" spans="1:42" x14ac:dyDescent="0.25">
      <c r="A56" s="160"/>
      <c r="B56" s="160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Z56" s="11" t="s">
        <v>40</v>
      </c>
      <c r="AA56" s="15">
        <v>0.61599999999999999</v>
      </c>
      <c r="AB56" s="16">
        <v>0.61099999999999999</v>
      </c>
      <c r="AC56" s="16">
        <v>0.121</v>
      </c>
      <c r="AD56" s="16">
        <v>0.11700000000000001</v>
      </c>
      <c r="AE56" s="16">
        <v>0.13400000000000001</v>
      </c>
      <c r="AF56" s="16">
        <v>0.13500000000000001</v>
      </c>
      <c r="AG56" s="16">
        <v>0.13900000000000001</v>
      </c>
      <c r="AH56" s="16">
        <v>0.14199999999999999</v>
      </c>
      <c r="AI56" s="16">
        <v>7.0000000000000007E-2</v>
      </c>
      <c r="AJ56" s="16">
        <v>7.0999999999999994E-2</v>
      </c>
      <c r="AK56" s="16"/>
      <c r="AL56" s="17"/>
      <c r="AO56">
        <v>1500</v>
      </c>
      <c r="AP56">
        <f t="shared" ref="AP56:AP62" si="11">AVERAGE(AA56:AB56)</f>
        <v>0.61349999999999993</v>
      </c>
    </row>
    <row r="57" spans="1:42" x14ac:dyDescent="0.25">
      <c r="A57" s="160"/>
      <c r="B57" s="160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Z57" s="11" t="s">
        <v>41</v>
      </c>
      <c r="AA57" s="15">
        <v>0.42599999999999999</v>
      </c>
      <c r="AB57" s="16">
        <v>0.442</v>
      </c>
      <c r="AC57" s="16">
        <v>0.126</v>
      </c>
      <c r="AD57" s="16">
        <v>0.128</v>
      </c>
      <c r="AE57" s="16">
        <v>0.13200000000000001</v>
      </c>
      <c r="AF57" s="16">
        <v>0.13300000000000001</v>
      </c>
      <c r="AG57" s="16">
        <v>0.14199999999999999</v>
      </c>
      <c r="AH57" s="16">
        <v>0.14299999999999999</v>
      </c>
      <c r="AI57" s="16">
        <v>7.0000000000000007E-2</v>
      </c>
      <c r="AJ57" s="16">
        <v>7.1999999999999995E-2</v>
      </c>
      <c r="AK57" s="16"/>
      <c r="AL57" s="17"/>
      <c r="AO57">
        <v>1000</v>
      </c>
      <c r="AP57">
        <f t="shared" si="11"/>
        <v>0.434</v>
      </c>
    </row>
    <row r="58" spans="1:42" x14ac:dyDescent="0.25">
      <c r="A58" s="24"/>
      <c r="B58" s="24" t="s">
        <v>173</v>
      </c>
      <c r="C58" s="24">
        <f>AVERAGE(B48:B49)</f>
        <v>0.26900000000000002</v>
      </c>
      <c r="D58" s="24">
        <f>C58-$C$58</f>
        <v>0</v>
      </c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Z58" s="11" t="s">
        <v>42</v>
      </c>
      <c r="AA58" s="15">
        <v>0.374</v>
      </c>
      <c r="AB58" s="16">
        <v>0.36799999999999999</v>
      </c>
      <c r="AC58" s="16">
        <v>0.11700000000000001</v>
      </c>
      <c r="AD58" s="16">
        <v>0.11700000000000001</v>
      </c>
      <c r="AE58" s="16">
        <v>0.13</v>
      </c>
      <c r="AF58" s="16">
        <v>0.13200000000000001</v>
      </c>
      <c r="AG58" s="16">
        <v>0.14499999999999999</v>
      </c>
      <c r="AH58" s="16">
        <v>0.14599999999999999</v>
      </c>
      <c r="AI58" s="16">
        <v>6.9000000000000006E-2</v>
      </c>
      <c r="AJ58" s="16">
        <v>7.0999999999999994E-2</v>
      </c>
      <c r="AK58" s="16"/>
      <c r="AL58" s="17"/>
      <c r="AO58">
        <v>750</v>
      </c>
      <c r="AP58">
        <f t="shared" si="11"/>
        <v>0.371</v>
      </c>
    </row>
    <row r="59" spans="1:42" x14ac:dyDescent="0.25">
      <c r="A59" s="24"/>
      <c r="B59" s="24" t="s">
        <v>151</v>
      </c>
      <c r="C59" s="24">
        <f>AVERAGE(B50:B51)</f>
        <v>0.46450000000000002</v>
      </c>
      <c r="D59" s="24">
        <f>C59-$C$58</f>
        <v>0.19550000000000001</v>
      </c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Z59" s="11" t="s">
        <v>43</v>
      </c>
      <c r="AA59" s="15">
        <v>0.26400000000000001</v>
      </c>
      <c r="AB59" s="16">
        <v>0.26600000000000001</v>
      </c>
      <c r="AC59" s="16">
        <v>0.11899999999999999</v>
      </c>
      <c r="AD59" s="16">
        <v>0.13100000000000001</v>
      </c>
      <c r="AE59" s="16">
        <v>0.13700000000000001</v>
      </c>
      <c r="AF59" s="16">
        <v>0.13800000000000001</v>
      </c>
      <c r="AG59" s="16">
        <v>0.14000000000000001</v>
      </c>
      <c r="AH59" s="16">
        <v>0.14199999999999999</v>
      </c>
      <c r="AI59" s="16">
        <v>6.9000000000000006E-2</v>
      </c>
      <c r="AJ59" s="16">
        <v>7.0000000000000007E-2</v>
      </c>
      <c r="AK59" s="16"/>
      <c r="AL59" s="17"/>
      <c r="AO59">
        <v>500</v>
      </c>
      <c r="AP59">
        <f t="shared" si="11"/>
        <v>0.26500000000000001</v>
      </c>
    </row>
    <row r="60" spans="1:42" x14ac:dyDescent="0.25">
      <c r="A60" s="24"/>
      <c r="B60" s="24" t="s">
        <v>152</v>
      </c>
      <c r="C60" s="24">
        <f>AVERAGE(B52:B53)</f>
        <v>0.26750000000000002</v>
      </c>
      <c r="D60" s="24">
        <f>C60-$C$58</f>
        <v>-1.5000000000000013E-3</v>
      </c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Z60" s="11" t="s">
        <v>44</v>
      </c>
      <c r="AA60" s="15">
        <v>0.161</v>
      </c>
      <c r="AB60" s="16">
        <v>0.158</v>
      </c>
      <c r="AC60" s="16">
        <v>0.12</v>
      </c>
      <c r="AD60" s="16">
        <v>0.121</v>
      </c>
      <c r="AE60" s="16">
        <v>0.13700000000000001</v>
      </c>
      <c r="AF60" s="16">
        <v>0.13800000000000001</v>
      </c>
      <c r="AG60" s="16">
        <v>0.17199999999999999</v>
      </c>
      <c r="AH60" s="16">
        <v>0.17399999999999999</v>
      </c>
      <c r="AI60" s="16">
        <v>7.0000000000000007E-2</v>
      </c>
      <c r="AJ60" s="16">
        <v>7.0000000000000007E-2</v>
      </c>
      <c r="AK60" s="16"/>
      <c r="AL60" s="17"/>
      <c r="AO60">
        <v>250</v>
      </c>
      <c r="AP60">
        <f t="shared" si="11"/>
        <v>0.1595</v>
      </c>
    </row>
    <row r="61" spans="1:42" x14ac:dyDescent="0.25">
      <c r="A61" s="24"/>
      <c r="B61" s="24" t="s">
        <v>153</v>
      </c>
      <c r="C61" s="24">
        <f>AVERAGE(B54:B55)</f>
        <v>0.86599999999999999</v>
      </c>
      <c r="D61" s="24">
        <f>C61-$C$58</f>
        <v>0.59699999999999998</v>
      </c>
      <c r="E61" s="24"/>
      <c r="F61" s="24"/>
      <c r="G61" s="24"/>
      <c r="H61" s="85" t="s">
        <v>159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Z61" s="11" t="s">
        <v>45</v>
      </c>
      <c r="AA61" s="15">
        <v>0.127</v>
      </c>
      <c r="AB61" s="16">
        <v>0.129</v>
      </c>
      <c r="AC61" s="16">
        <v>0.127</v>
      </c>
      <c r="AD61" s="16">
        <v>0.129</v>
      </c>
      <c r="AE61" s="16">
        <v>0.14099999999999999</v>
      </c>
      <c r="AF61" s="16">
        <v>0.14199999999999999</v>
      </c>
      <c r="AG61" s="16">
        <v>0.17199999999999999</v>
      </c>
      <c r="AH61" s="16">
        <v>0.17</v>
      </c>
      <c r="AI61" s="16">
        <v>6.9000000000000006E-2</v>
      </c>
      <c r="AJ61" s="16">
        <v>7.0000000000000007E-2</v>
      </c>
      <c r="AK61" s="16"/>
      <c r="AL61" s="17"/>
      <c r="AO61">
        <v>125</v>
      </c>
      <c r="AP61">
        <f t="shared" si="11"/>
        <v>0.128</v>
      </c>
    </row>
    <row r="62" spans="1:42" x14ac:dyDescent="0.25">
      <c r="A62" s="160"/>
      <c r="B62" s="160"/>
      <c r="C62" s="24"/>
      <c r="D62" s="24"/>
      <c r="E62" s="24"/>
      <c r="F62" s="85" t="s">
        <v>159</v>
      </c>
      <c r="G62" s="85" t="s">
        <v>181</v>
      </c>
      <c r="H62" s="85" t="s">
        <v>182</v>
      </c>
      <c r="I62" s="85" t="s">
        <v>183</v>
      </c>
      <c r="J62" s="85" t="s">
        <v>162</v>
      </c>
      <c r="K62" s="85" t="s">
        <v>6</v>
      </c>
      <c r="L62" s="85" t="s">
        <v>184</v>
      </c>
      <c r="M62" s="24"/>
      <c r="N62" s="24"/>
      <c r="O62" s="24"/>
      <c r="P62" s="24"/>
      <c r="Q62" s="24"/>
      <c r="R62" s="24"/>
      <c r="S62" s="24"/>
      <c r="Z62" s="11" t="s">
        <v>46</v>
      </c>
      <c r="AA62" s="18">
        <v>8.5000000000000006E-2</v>
      </c>
      <c r="AB62" s="19">
        <v>7.9000000000000001E-2</v>
      </c>
      <c r="AC62" s="19">
        <v>0.13100000000000001</v>
      </c>
      <c r="AD62" s="19">
        <v>0.13100000000000001</v>
      </c>
      <c r="AE62" s="19">
        <v>0.14199999999999999</v>
      </c>
      <c r="AF62" s="19">
        <v>0.14099999999999999</v>
      </c>
      <c r="AG62" s="19">
        <v>0.16800000000000001</v>
      </c>
      <c r="AH62" s="19">
        <v>0.16700000000000001</v>
      </c>
      <c r="AI62" s="19">
        <v>7.0000000000000007E-2</v>
      </c>
      <c r="AJ62" s="19">
        <v>7.0000000000000007E-2</v>
      </c>
      <c r="AK62" s="19"/>
      <c r="AL62" s="20"/>
      <c r="AO62">
        <v>25</v>
      </c>
      <c r="AP62">
        <f t="shared" si="11"/>
        <v>8.2000000000000003E-2</v>
      </c>
    </row>
    <row r="63" spans="1:42" x14ac:dyDescent="0.25">
      <c r="A63" s="24"/>
      <c r="B63" s="161" t="s">
        <v>185</v>
      </c>
      <c r="C63" s="88">
        <v>1</v>
      </c>
      <c r="D63" s="24">
        <f>AVERAGE(E48)</f>
        <v>0.48099999999999998</v>
      </c>
      <c r="E63" s="24">
        <f>D63-$P$47</f>
        <v>0.48249999999999998</v>
      </c>
      <c r="F63" s="24">
        <f>(-7.393*E63)+6.8819</f>
        <v>3.3147774999999999</v>
      </c>
      <c r="G63" s="24">
        <f>10^F63</f>
        <v>2064.3222805550513</v>
      </c>
      <c r="H63" s="24">
        <f>G63*4</f>
        <v>8257.2891222202052</v>
      </c>
      <c r="I63" s="24">
        <v>0.10933333333333332</v>
      </c>
      <c r="J63" s="24">
        <f>H63/I63</f>
        <v>75523.985873965299</v>
      </c>
      <c r="K63" s="24">
        <f>AVERAGE(J63:J66)</f>
        <v>77276.902060235327</v>
      </c>
      <c r="L63" s="87">
        <f t="shared" ref="L63:L78" si="12">(J63/$K$63)*100</f>
        <v>97.73164278130136</v>
      </c>
      <c r="M63" s="24"/>
      <c r="O63" s="24"/>
      <c r="P63" s="24"/>
      <c r="Q63" s="24"/>
      <c r="R63" s="24"/>
      <c r="S63" s="24"/>
      <c r="AO63">
        <v>0</v>
      </c>
      <c r="AP63">
        <f>AVERAGE(AI55:AJ55)</f>
        <v>7.4499999999999997E-2</v>
      </c>
    </row>
    <row r="64" spans="1:42" x14ac:dyDescent="0.25">
      <c r="B64" s="161"/>
      <c r="C64" s="88">
        <v>2</v>
      </c>
      <c r="D64" s="24">
        <f>AVERAGE(E49:F49)</f>
        <v>0.46850000000000003</v>
      </c>
      <c r="E64" s="24">
        <f t="shared" ref="E64" si="13">D64-$P$47</f>
        <v>0.47000000000000003</v>
      </c>
      <c r="F64" s="24">
        <f t="shared" ref="F64" si="14">(-7.393*E64)+6.8819</f>
        <v>3.4071899999999999</v>
      </c>
      <c r="G64" s="24">
        <f t="shared" ref="G64" si="15">10^F64</f>
        <v>2553.8183312621177</v>
      </c>
      <c r="H64" s="24">
        <f t="shared" ref="H64" si="16">G64*4</f>
        <v>10215.273325048471</v>
      </c>
      <c r="I64" s="24">
        <v>0.10933333333333337</v>
      </c>
      <c r="J64" s="24">
        <f t="shared" ref="J64" si="17">H64/I64</f>
        <v>93432.377973004273</v>
      </c>
      <c r="K64" s="24"/>
      <c r="L64" s="87">
        <f t="shared" si="12"/>
        <v>120.90595699627838</v>
      </c>
      <c r="M64" s="24"/>
      <c r="N64" s="24"/>
      <c r="O64" s="24"/>
      <c r="P64" s="24"/>
      <c r="Q64" s="24"/>
      <c r="R64" s="24"/>
      <c r="S64" s="24"/>
    </row>
    <row r="65" spans="1:31" x14ac:dyDescent="0.25">
      <c r="B65" s="161"/>
      <c r="C65" s="88">
        <v>3</v>
      </c>
      <c r="D65" s="24">
        <f>AVERAGE(E51:F51)</f>
        <v>0.47949999999999998</v>
      </c>
      <c r="E65" s="24">
        <f t="shared" ref="E65:E78" si="18">D65-$P$47</f>
        <v>0.48099999999999998</v>
      </c>
      <c r="F65" s="24">
        <f t="shared" ref="F65:F78" si="19">(-7.393*E65)+6.8819</f>
        <v>3.3258670000000001</v>
      </c>
      <c r="G65" s="24">
        <f t="shared" ref="G65:G78" si="20">10^F65</f>
        <v>2117.7124995732829</v>
      </c>
      <c r="H65" s="24">
        <f t="shared" ref="H65:H78" si="21">G65*4</f>
        <v>8470.8499982931316</v>
      </c>
      <c r="I65" s="24">
        <v>0.10933333333333337</v>
      </c>
      <c r="J65" s="24">
        <f t="shared" ref="J65:J78" si="22">H65/I65</f>
        <v>77477.286569754229</v>
      </c>
      <c r="K65" s="24"/>
      <c r="L65" s="87">
        <f t="shared" si="12"/>
        <v>100.25930712046751</v>
      </c>
      <c r="M65" s="24"/>
      <c r="N65" s="24"/>
      <c r="O65" s="24"/>
      <c r="P65" s="24"/>
      <c r="Q65" s="24"/>
      <c r="R65" s="24"/>
      <c r="S65" s="24"/>
      <c r="AB65" s="1" t="s">
        <v>47</v>
      </c>
      <c r="AC65" s="1" t="s">
        <v>48</v>
      </c>
      <c r="AD65" s="11" t="s">
        <v>132</v>
      </c>
      <c r="AE65" s="1" t="s">
        <v>170</v>
      </c>
    </row>
    <row r="66" spans="1:31" x14ac:dyDescent="0.25">
      <c r="B66" s="161"/>
      <c r="C66" s="88">
        <v>4</v>
      </c>
      <c r="D66" s="24">
        <f>AVERAGE(E53:F53)</f>
        <v>0.48599999999999999</v>
      </c>
      <c r="E66" s="24">
        <f t="shared" si="18"/>
        <v>0.48749999999999999</v>
      </c>
      <c r="F66" s="24">
        <f t="shared" si="19"/>
        <v>3.2778125</v>
      </c>
      <c r="G66" s="24">
        <f t="shared" si="20"/>
        <v>1895.8872241825791</v>
      </c>
      <c r="H66" s="24">
        <f t="shared" si="21"/>
        <v>7583.5488967303163</v>
      </c>
      <c r="I66" s="24">
        <v>0.121</v>
      </c>
      <c r="J66" s="24">
        <f t="shared" si="22"/>
        <v>62673.95782421749</v>
      </c>
      <c r="K66" s="24"/>
      <c r="L66" s="87">
        <f t="shared" si="12"/>
        <v>81.103093101952737</v>
      </c>
      <c r="M66" s="24"/>
      <c r="N66" s="24"/>
      <c r="O66" s="24"/>
      <c r="P66" s="24"/>
      <c r="Q66" s="24"/>
      <c r="R66" s="24"/>
      <c r="S66" s="24"/>
      <c r="Z66" s="161" t="s">
        <v>185</v>
      </c>
      <c r="AA66" s="88">
        <v>1</v>
      </c>
      <c r="AB66">
        <f>AVERAGE(AC55:AD55)</f>
        <v>0.11699999999999999</v>
      </c>
      <c r="AC66">
        <f>AB66-$AP$63</f>
        <v>4.2499999999999996E-2</v>
      </c>
      <c r="AD66" s="89">
        <f>(AC66-0.0097)/0.0003</f>
        <v>109.33333333333333</v>
      </c>
      <c r="AE66">
        <f>AD66/1000</f>
        <v>0.10933333333333332</v>
      </c>
    </row>
    <row r="67" spans="1:31" x14ac:dyDescent="0.25">
      <c r="B67" s="161" t="s">
        <v>186</v>
      </c>
      <c r="C67" s="88">
        <v>1</v>
      </c>
      <c r="D67" s="24">
        <f>AVERAGE(G48:H48)</f>
        <v>0.44450000000000001</v>
      </c>
      <c r="E67" s="24">
        <f t="shared" si="18"/>
        <v>0.44600000000000001</v>
      </c>
      <c r="F67" s="24">
        <f t="shared" si="19"/>
        <v>3.584622</v>
      </c>
      <c r="G67" s="24">
        <f t="shared" si="20"/>
        <v>3842.571877730868</v>
      </c>
      <c r="H67" s="24">
        <f t="shared" si="21"/>
        <v>15370.287510923472</v>
      </c>
      <c r="I67" s="24">
        <v>0.14600000000000002</v>
      </c>
      <c r="J67" s="24">
        <f t="shared" si="22"/>
        <v>105275.94185564021</v>
      </c>
      <c r="K67" s="24"/>
      <c r="L67" s="87">
        <f t="shared" si="12"/>
        <v>136.23209400084434</v>
      </c>
      <c r="M67" s="24"/>
      <c r="N67" s="24"/>
      <c r="O67" s="24"/>
      <c r="P67" s="24"/>
      <c r="Q67" s="24"/>
      <c r="R67" s="24"/>
      <c r="S67" s="24"/>
      <c r="Z67" s="161"/>
      <c r="AA67" s="88">
        <v>2</v>
      </c>
      <c r="AB67">
        <f>AVERAGE(AD56)</f>
        <v>0.11700000000000001</v>
      </c>
      <c r="AC67">
        <f t="shared" ref="AC67" si="23">AB67-$AP$63</f>
        <v>4.250000000000001E-2</v>
      </c>
      <c r="AD67" s="89">
        <f t="shared" ref="AD67" si="24">(AC67-0.0097)/0.0003</f>
        <v>109.33333333333337</v>
      </c>
      <c r="AE67">
        <f t="shared" ref="AE67" si="25">AD67/1000</f>
        <v>0.10933333333333337</v>
      </c>
    </row>
    <row r="68" spans="1:31" x14ac:dyDescent="0.25">
      <c r="B68" s="161"/>
      <c r="C68" s="88">
        <v>2</v>
      </c>
      <c r="D68" s="24">
        <f>AVERAGE(G50:H50)</f>
        <v>0.4425</v>
      </c>
      <c r="E68" s="24">
        <f t="shared" si="18"/>
        <v>0.44400000000000001</v>
      </c>
      <c r="F68" s="24">
        <f t="shared" si="19"/>
        <v>3.5994079999999999</v>
      </c>
      <c r="G68" s="24">
        <f t="shared" si="20"/>
        <v>3975.6486827511617</v>
      </c>
      <c r="H68" s="24">
        <f t="shared" si="21"/>
        <v>15902.594731004647</v>
      </c>
      <c r="I68" s="24">
        <v>0.1526666666666667</v>
      </c>
      <c r="J68" s="24">
        <f t="shared" si="22"/>
        <v>104165.46767033609</v>
      </c>
      <c r="K68" s="24"/>
      <c r="L68" s="87">
        <f t="shared" si="12"/>
        <v>134.79508739770887</v>
      </c>
      <c r="M68" s="24"/>
      <c r="N68" s="24"/>
      <c r="O68" s="24"/>
      <c r="P68" s="24"/>
      <c r="Q68" s="24"/>
      <c r="R68" s="24"/>
      <c r="S68" s="24"/>
      <c r="Z68" s="161"/>
      <c r="AA68" s="88">
        <v>3</v>
      </c>
      <c r="AB68">
        <f>AVERAGE(AC58:AD58)</f>
        <v>0.11700000000000001</v>
      </c>
      <c r="AC68">
        <f t="shared" ref="AC68:AC81" si="26">AB68-$AP$63</f>
        <v>4.250000000000001E-2</v>
      </c>
      <c r="AD68" s="89">
        <f t="shared" ref="AD68:AD81" si="27">(AC68-0.0097)/0.0003</f>
        <v>109.33333333333337</v>
      </c>
      <c r="AE68">
        <f t="shared" ref="AE68:AE81" si="28">AD68/1000</f>
        <v>0.10933333333333337</v>
      </c>
    </row>
    <row r="69" spans="1:31" x14ac:dyDescent="0.25">
      <c r="A69" s="24"/>
      <c r="B69" s="161"/>
      <c r="C69" s="88">
        <v>3</v>
      </c>
      <c r="D69" s="24">
        <f>AVERAGE(G51:H51)</f>
        <v>0.4365</v>
      </c>
      <c r="E69" s="24">
        <f t="shared" si="18"/>
        <v>0.438</v>
      </c>
      <c r="F69" s="24">
        <f t="shared" si="19"/>
        <v>3.6437659999999998</v>
      </c>
      <c r="G69" s="24">
        <f t="shared" si="20"/>
        <v>4403.1755431961465</v>
      </c>
      <c r="H69" s="24">
        <f t="shared" si="21"/>
        <v>17612.702172784586</v>
      </c>
      <c r="I69" s="24">
        <v>0.16766666666666671</v>
      </c>
      <c r="J69" s="24">
        <f t="shared" si="22"/>
        <v>105045.93741223408</v>
      </c>
      <c r="K69" s="24"/>
      <c r="L69" s="87">
        <f t="shared" si="12"/>
        <v>135.93445727204946</v>
      </c>
      <c r="M69" s="24"/>
      <c r="N69" s="24"/>
      <c r="O69" s="24"/>
      <c r="P69" s="24"/>
      <c r="Q69" s="24"/>
      <c r="R69" s="24"/>
      <c r="S69" s="24"/>
      <c r="Z69" s="161"/>
      <c r="AA69" s="88">
        <v>4</v>
      </c>
      <c r="AB69">
        <f>AVERAGE(AC60:AD60)</f>
        <v>0.1205</v>
      </c>
      <c r="AC69">
        <f t="shared" si="26"/>
        <v>4.5999999999999999E-2</v>
      </c>
      <c r="AD69" s="89">
        <f t="shared" si="27"/>
        <v>121</v>
      </c>
      <c r="AE69">
        <f t="shared" si="28"/>
        <v>0.121</v>
      </c>
    </row>
    <row r="70" spans="1:31" x14ac:dyDescent="0.25">
      <c r="A70" s="24"/>
      <c r="B70" s="161"/>
      <c r="C70" s="88">
        <v>4</v>
      </c>
      <c r="D70" s="24">
        <f>AVERAGE(G53:H53)</f>
        <v>0.46350000000000002</v>
      </c>
      <c r="E70" s="24">
        <f t="shared" si="18"/>
        <v>0.46500000000000002</v>
      </c>
      <c r="F70" s="24">
        <f t="shared" si="19"/>
        <v>3.4441549999999999</v>
      </c>
      <c r="G70" s="24">
        <f t="shared" si="20"/>
        <v>2780.7055263992911</v>
      </c>
      <c r="H70" s="24">
        <f t="shared" si="21"/>
        <v>11122.822105597164</v>
      </c>
      <c r="I70" s="24">
        <v>0.15600000000000003</v>
      </c>
      <c r="J70" s="24">
        <f t="shared" si="22"/>
        <v>71300.141702545909</v>
      </c>
      <c r="K70" s="24"/>
      <c r="L70" s="87">
        <f t="shared" si="12"/>
        <v>92.265786802593752</v>
      </c>
      <c r="M70" s="24"/>
      <c r="N70" s="24"/>
      <c r="O70" s="24"/>
      <c r="P70" s="24"/>
      <c r="Q70" s="24"/>
      <c r="R70" s="24"/>
      <c r="S70" s="24"/>
      <c r="Z70" s="161" t="s">
        <v>186</v>
      </c>
      <c r="AA70" s="88">
        <v>1</v>
      </c>
      <c r="AB70">
        <f>AVERAGE(AC61:AD61)</f>
        <v>0.128</v>
      </c>
      <c r="AC70">
        <f t="shared" si="26"/>
        <v>5.3500000000000006E-2</v>
      </c>
      <c r="AD70" s="89">
        <f t="shared" si="27"/>
        <v>146.00000000000003</v>
      </c>
      <c r="AE70">
        <f t="shared" si="28"/>
        <v>0.14600000000000002</v>
      </c>
    </row>
    <row r="71" spans="1:31" x14ac:dyDescent="0.25">
      <c r="A71" s="24"/>
      <c r="B71" s="161" t="s">
        <v>187</v>
      </c>
      <c r="C71" s="88">
        <v>1</v>
      </c>
      <c r="D71" s="24">
        <f>AVERAGE(I48)</f>
        <v>0.46</v>
      </c>
      <c r="E71" s="24">
        <f t="shared" si="18"/>
        <v>0.46150000000000002</v>
      </c>
      <c r="F71" s="24">
        <f t="shared" si="19"/>
        <v>3.4700305</v>
      </c>
      <c r="G71" s="24">
        <f t="shared" si="20"/>
        <v>2951.416493960709</v>
      </c>
      <c r="H71" s="24">
        <f t="shared" si="21"/>
        <v>11805.665975842836</v>
      </c>
      <c r="I71" s="24">
        <v>0.17766666666666675</v>
      </c>
      <c r="J71" s="24">
        <f t="shared" si="22"/>
        <v>66448.401364969031</v>
      </c>
      <c r="K71" s="24"/>
      <c r="L71" s="87">
        <f t="shared" si="12"/>
        <v>85.987403212895671</v>
      </c>
      <c r="M71" s="24"/>
      <c r="N71" s="24"/>
      <c r="O71" s="24"/>
      <c r="P71" s="24"/>
      <c r="Q71" s="24"/>
      <c r="R71" s="24"/>
      <c r="S71" s="24"/>
      <c r="Z71" s="161"/>
      <c r="AA71" s="88">
        <v>2</v>
      </c>
      <c r="AB71">
        <f>AVERAGE(AE55:AF55)</f>
        <v>0.13</v>
      </c>
      <c r="AC71">
        <f t="shared" si="26"/>
        <v>5.5500000000000008E-2</v>
      </c>
      <c r="AD71" s="89">
        <f t="shared" si="27"/>
        <v>152.66666666666671</v>
      </c>
      <c r="AE71">
        <f t="shared" si="28"/>
        <v>0.1526666666666667</v>
      </c>
    </row>
    <row r="72" spans="1:31" x14ac:dyDescent="0.25">
      <c r="A72" s="24"/>
      <c r="B72" s="161"/>
      <c r="C72" s="88">
        <v>2</v>
      </c>
      <c r="D72" s="24">
        <f>AVERAGE(I50:J50)</f>
        <v>0.45400000000000001</v>
      </c>
      <c r="E72" s="24">
        <f t="shared" si="18"/>
        <v>0.45550000000000002</v>
      </c>
      <c r="F72" s="24">
        <f t="shared" si="19"/>
        <v>3.5143884999999999</v>
      </c>
      <c r="G72" s="24">
        <f t="shared" si="20"/>
        <v>3268.8011343599237</v>
      </c>
      <c r="H72" s="24">
        <f t="shared" si="21"/>
        <v>13075.204537439695</v>
      </c>
      <c r="I72" s="24">
        <v>0.19099999999999998</v>
      </c>
      <c r="J72" s="24">
        <f t="shared" si="22"/>
        <v>68456.568258846572</v>
      </c>
      <c r="K72" s="24"/>
      <c r="L72" s="87">
        <f t="shared" si="12"/>
        <v>88.586067031370462</v>
      </c>
      <c r="M72" s="24"/>
      <c r="N72" s="24"/>
      <c r="O72" s="24"/>
      <c r="P72" s="24"/>
      <c r="Q72" s="24"/>
      <c r="R72" s="24"/>
      <c r="S72" s="24"/>
      <c r="Z72" s="161"/>
      <c r="AA72" s="88">
        <v>3</v>
      </c>
      <c r="AB72">
        <f>AVERAGE(AE56:AF56)</f>
        <v>0.13450000000000001</v>
      </c>
      <c r="AC72">
        <f t="shared" si="26"/>
        <v>6.0000000000000012E-2</v>
      </c>
      <c r="AD72" s="89">
        <f t="shared" si="27"/>
        <v>167.66666666666671</v>
      </c>
      <c r="AE72">
        <f t="shared" si="28"/>
        <v>0.16766666666666671</v>
      </c>
    </row>
    <row r="73" spans="1:31" x14ac:dyDescent="0.25">
      <c r="A73" s="24"/>
      <c r="B73" s="161"/>
      <c r="C73" s="88">
        <v>3</v>
      </c>
      <c r="D73" s="24">
        <f>AVERAGE(I51:J51)</f>
        <v>0.45700000000000002</v>
      </c>
      <c r="E73" s="24">
        <f t="shared" si="18"/>
        <v>0.45850000000000002</v>
      </c>
      <c r="F73" s="24">
        <f t="shared" si="19"/>
        <v>3.4922095</v>
      </c>
      <c r="G73" s="24">
        <f t="shared" si="20"/>
        <v>3106.057562800042</v>
      </c>
      <c r="H73" s="24">
        <f t="shared" si="21"/>
        <v>12424.230251200168</v>
      </c>
      <c r="I73" s="24">
        <v>0.19099999999999998</v>
      </c>
      <c r="J73" s="24">
        <f t="shared" si="22"/>
        <v>65048.325922513977</v>
      </c>
      <c r="K73" s="24"/>
      <c r="L73" s="87">
        <f t="shared" si="12"/>
        <v>84.175638759186427</v>
      </c>
      <c r="M73" s="24"/>
      <c r="N73" s="24"/>
      <c r="O73" s="24"/>
      <c r="P73" s="24"/>
      <c r="Q73" s="24"/>
      <c r="R73" s="24"/>
      <c r="S73" s="24"/>
      <c r="Z73" s="161"/>
      <c r="AA73" s="88">
        <v>4</v>
      </c>
      <c r="AB73">
        <f>AVERAGE(AE58:AF58)</f>
        <v>0.13100000000000001</v>
      </c>
      <c r="AC73">
        <f t="shared" si="26"/>
        <v>5.6500000000000009E-2</v>
      </c>
      <c r="AD73" s="89">
        <f t="shared" si="27"/>
        <v>156.00000000000003</v>
      </c>
      <c r="AE73">
        <f t="shared" si="28"/>
        <v>0.15600000000000003</v>
      </c>
    </row>
    <row r="74" spans="1:31" x14ac:dyDescent="0.25">
      <c r="A74" s="24"/>
      <c r="B74" s="161"/>
      <c r="C74" s="88">
        <v>4</v>
      </c>
      <c r="D74" s="24">
        <f>AVERAGE(I53:J53)</f>
        <v>0.44650000000000001</v>
      </c>
      <c r="E74" s="24">
        <f t="shared" si="18"/>
        <v>0.44800000000000001</v>
      </c>
      <c r="F74" s="24">
        <f t="shared" si="19"/>
        <v>3.569836</v>
      </c>
      <c r="G74" s="24">
        <f t="shared" si="20"/>
        <v>3713.9495498154597</v>
      </c>
      <c r="H74" s="24">
        <f t="shared" si="21"/>
        <v>14855.798199261839</v>
      </c>
      <c r="I74" s="24">
        <v>0.18766666666666673</v>
      </c>
      <c r="J74" s="24">
        <f t="shared" si="22"/>
        <v>79160.558788251335</v>
      </c>
      <c r="K74" s="24"/>
      <c r="L74" s="87">
        <f t="shared" si="12"/>
        <v>102.43754172048428</v>
      </c>
      <c r="M74" s="24"/>
      <c r="N74" s="24"/>
      <c r="O74" s="24"/>
      <c r="P74" s="24"/>
      <c r="Q74" s="24"/>
      <c r="R74" s="24"/>
      <c r="S74" s="24"/>
      <c r="Z74" s="161" t="s">
        <v>187</v>
      </c>
      <c r="AA74" s="88">
        <v>1</v>
      </c>
      <c r="AB74">
        <f>AVERAGE(AE60:AF60)</f>
        <v>0.13750000000000001</v>
      </c>
      <c r="AC74">
        <f t="shared" si="26"/>
        <v>6.3000000000000014E-2</v>
      </c>
      <c r="AD74" s="89">
        <f t="shared" si="27"/>
        <v>177.66666666666674</v>
      </c>
      <c r="AE74">
        <f t="shared" si="28"/>
        <v>0.17766666666666675</v>
      </c>
    </row>
    <row r="75" spans="1:31" x14ac:dyDescent="0.25">
      <c r="A75" s="24"/>
      <c r="B75" s="161" t="s">
        <v>188</v>
      </c>
      <c r="C75" s="88">
        <v>1</v>
      </c>
      <c r="D75" s="24">
        <f>AVERAGE(K48:L48)</f>
        <v>0.52249999999999996</v>
      </c>
      <c r="E75" s="24">
        <f t="shared" si="18"/>
        <v>0.52400000000000002</v>
      </c>
      <c r="F75" s="24">
        <f t="shared" si="19"/>
        <v>3.007968</v>
      </c>
      <c r="G75" s="24">
        <f t="shared" si="20"/>
        <v>1018.5163382320173</v>
      </c>
      <c r="H75" s="24">
        <f t="shared" si="21"/>
        <v>4074.0653529280694</v>
      </c>
      <c r="I75" s="24">
        <v>0.1943333333333333</v>
      </c>
      <c r="J75" s="24">
        <f t="shared" si="22"/>
        <v>20964.315709749932</v>
      </c>
      <c r="K75" s="24"/>
      <c r="L75" s="87">
        <f t="shared" si="12"/>
        <v>27.128825238631844</v>
      </c>
      <c r="M75" s="24"/>
      <c r="N75" s="24"/>
      <c r="O75" s="24"/>
      <c r="P75" s="24"/>
      <c r="Q75" s="24"/>
      <c r="R75" s="24"/>
      <c r="S75" s="24"/>
      <c r="Z75" s="161"/>
      <c r="AA75" s="88">
        <v>2</v>
      </c>
      <c r="AB75">
        <f>AVERAGE(AE61:AF61)</f>
        <v>0.14149999999999999</v>
      </c>
      <c r="AC75">
        <f t="shared" si="26"/>
        <v>6.699999999999999E-2</v>
      </c>
      <c r="AD75" s="89">
        <f t="shared" si="27"/>
        <v>190.99999999999997</v>
      </c>
      <c r="AE75">
        <f t="shared" si="28"/>
        <v>0.19099999999999998</v>
      </c>
    </row>
    <row r="76" spans="1:31" x14ac:dyDescent="0.25">
      <c r="A76" s="24"/>
      <c r="B76" s="161"/>
      <c r="C76" s="88">
        <v>2</v>
      </c>
      <c r="D76" s="24">
        <f>AVERAGE(K50:L50)</f>
        <v>0.501</v>
      </c>
      <c r="E76" s="24">
        <f t="shared" si="18"/>
        <v>0.50249999999999995</v>
      </c>
      <c r="F76" s="24">
        <f t="shared" si="19"/>
        <v>3.1669175000000003</v>
      </c>
      <c r="G76" s="24">
        <f t="shared" si="20"/>
        <v>1468.6472621067171</v>
      </c>
      <c r="H76" s="24">
        <f t="shared" si="21"/>
        <v>5874.5890484268684</v>
      </c>
      <c r="I76" s="24">
        <v>0.18933333333333341</v>
      </c>
      <c r="J76" s="24">
        <f t="shared" si="22"/>
        <v>31027.759058592601</v>
      </c>
      <c r="K76" s="24"/>
      <c r="L76" s="87">
        <f t="shared" si="12"/>
        <v>40.151401300232344</v>
      </c>
      <c r="M76" s="24"/>
      <c r="N76" s="24"/>
      <c r="O76" s="24"/>
      <c r="P76" s="24"/>
      <c r="Q76" s="24"/>
      <c r="R76" s="24"/>
      <c r="S76" s="24"/>
      <c r="Z76" s="161"/>
      <c r="AA76" s="88">
        <v>3</v>
      </c>
      <c r="AB76">
        <f>AVERAGE(AE62:AF62)</f>
        <v>0.14149999999999999</v>
      </c>
      <c r="AC76">
        <f t="shared" si="26"/>
        <v>6.699999999999999E-2</v>
      </c>
      <c r="AD76" s="89">
        <f t="shared" si="27"/>
        <v>190.99999999999997</v>
      </c>
      <c r="AE76">
        <f t="shared" si="28"/>
        <v>0.19099999999999998</v>
      </c>
    </row>
    <row r="77" spans="1:31" x14ac:dyDescent="0.25">
      <c r="A77" s="24"/>
      <c r="B77" s="161"/>
      <c r="C77" s="88">
        <v>3</v>
      </c>
      <c r="D77" s="24">
        <f>AVERAGE(K51:L51)</f>
        <v>0.501</v>
      </c>
      <c r="E77" s="24">
        <f t="shared" si="18"/>
        <v>0.50249999999999995</v>
      </c>
      <c r="F77" s="24">
        <f t="shared" si="19"/>
        <v>3.1669175000000003</v>
      </c>
      <c r="G77" s="24">
        <f t="shared" si="20"/>
        <v>1468.6472621067171</v>
      </c>
      <c r="H77" s="24">
        <f t="shared" si="21"/>
        <v>5874.5890484268684</v>
      </c>
      <c r="I77" s="24">
        <v>0.29599999999999999</v>
      </c>
      <c r="J77" s="24">
        <f t="shared" si="22"/>
        <v>19846.584623063747</v>
      </c>
      <c r="K77" s="24"/>
      <c r="L77" s="87">
        <f t="shared" si="12"/>
        <v>25.682427858707189</v>
      </c>
      <c r="M77" s="24"/>
      <c r="N77" s="24"/>
      <c r="O77" s="24"/>
      <c r="P77" s="24"/>
      <c r="Q77" s="24"/>
      <c r="R77" s="24"/>
      <c r="S77" s="24"/>
      <c r="Z77" s="161"/>
      <c r="AA77" s="88">
        <v>4</v>
      </c>
      <c r="AB77">
        <f>AVERAGE(AG56:AH56)</f>
        <v>0.14050000000000001</v>
      </c>
      <c r="AC77">
        <f t="shared" si="26"/>
        <v>6.6000000000000017E-2</v>
      </c>
      <c r="AD77" s="89">
        <f t="shared" si="27"/>
        <v>187.66666666666674</v>
      </c>
      <c r="AE77">
        <f t="shared" si="28"/>
        <v>0.18766666666666673</v>
      </c>
    </row>
    <row r="78" spans="1:31" x14ac:dyDescent="0.25">
      <c r="A78" s="24"/>
      <c r="B78" s="161"/>
      <c r="C78" s="88">
        <v>4</v>
      </c>
      <c r="D78" s="24">
        <f>AVERAGE(K53:L53)</f>
        <v>0.51350000000000007</v>
      </c>
      <c r="E78" s="24">
        <f t="shared" si="18"/>
        <v>0.51500000000000012</v>
      </c>
      <c r="F78" s="24">
        <f t="shared" si="19"/>
        <v>3.0745049999999989</v>
      </c>
      <c r="G78" s="24">
        <f t="shared" si="20"/>
        <v>1187.1483685156029</v>
      </c>
      <c r="H78" s="24">
        <f t="shared" si="21"/>
        <v>4748.5934740624116</v>
      </c>
      <c r="I78" s="24">
        <v>0.27766666666666673</v>
      </c>
      <c r="J78" s="24">
        <f t="shared" si="22"/>
        <v>17101.777217511684</v>
      </c>
      <c r="K78" s="24"/>
      <c r="L78" s="87">
        <f t="shared" si="12"/>
        <v>22.130516055342508</v>
      </c>
      <c r="M78" s="24"/>
      <c r="N78" s="24"/>
      <c r="O78" s="24"/>
      <c r="P78" s="24"/>
      <c r="Q78" s="24"/>
      <c r="R78" s="24"/>
      <c r="S78" s="24"/>
      <c r="Z78" s="161" t="s">
        <v>188</v>
      </c>
      <c r="AA78" s="88">
        <v>1</v>
      </c>
      <c r="AB78">
        <f>AVERAGE(AG57:AH57)</f>
        <v>0.14249999999999999</v>
      </c>
      <c r="AC78">
        <f t="shared" si="26"/>
        <v>6.7999999999999991E-2</v>
      </c>
      <c r="AD78" s="89">
        <f t="shared" si="27"/>
        <v>194.33333333333331</v>
      </c>
      <c r="AE78">
        <f t="shared" si="28"/>
        <v>0.1943333333333333</v>
      </c>
    </row>
    <row r="79" spans="1:31" x14ac:dyDescent="0.25">
      <c r="A79" s="24"/>
      <c r="N79" s="24"/>
      <c r="O79" s="24"/>
      <c r="P79" s="24"/>
      <c r="Q79" s="24"/>
      <c r="R79" s="24"/>
      <c r="S79" s="24"/>
      <c r="Z79" s="161"/>
      <c r="AA79" s="88">
        <v>2</v>
      </c>
      <c r="AB79">
        <f>AVERAGE(AG59:AH59)</f>
        <v>0.14100000000000001</v>
      </c>
      <c r="AC79">
        <f t="shared" si="26"/>
        <v>6.6500000000000017E-2</v>
      </c>
      <c r="AD79" s="89">
        <f t="shared" si="27"/>
        <v>189.3333333333334</v>
      </c>
      <c r="AE79">
        <f t="shared" si="28"/>
        <v>0.18933333333333341</v>
      </c>
    </row>
    <row r="80" spans="1:31" x14ac:dyDescent="0.25">
      <c r="A80" s="24"/>
      <c r="N80" s="24"/>
      <c r="O80" s="24"/>
      <c r="P80" s="24"/>
      <c r="Q80" s="24"/>
      <c r="R80" s="24"/>
      <c r="S80" s="24"/>
      <c r="Z80" s="161"/>
      <c r="AA80" s="88">
        <v>3</v>
      </c>
      <c r="AB80">
        <f>AVERAGE(AG60:AH60)</f>
        <v>0.17299999999999999</v>
      </c>
      <c r="AC80">
        <f t="shared" si="26"/>
        <v>9.849999999999999E-2</v>
      </c>
      <c r="AD80" s="89">
        <f t="shared" si="27"/>
        <v>296</v>
      </c>
      <c r="AE80">
        <f t="shared" si="28"/>
        <v>0.29599999999999999</v>
      </c>
    </row>
    <row r="81" spans="1:31" x14ac:dyDescent="0.25">
      <c r="A81" s="24"/>
      <c r="N81" s="24"/>
      <c r="O81" s="24"/>
      <c r="P81" s="24"/>
      <c r="Q81" s="24"/>
      <c r="R81" s="24"/>
      <c r="S81" s="24"/>
      <c r="Z81" s="161"/>
      <c r="AA81" s="88">
        <v>4</v>
      </c>
      <c r="AB81">
        <f>AVERAGE(AG62:AH62)</f>
        <v>0.16750000000000001</v>
      </c>
      <c r="AC81">
        <f t="shared" si="26"/>
        <v>9.3000000000000013E-2</v>
      </c>
      <c r="AD81" s="89">
        <f t="shared" si="27"/>
        <v>277.66666666666674</v>
      </c>
      <c r="AE81">
        <f t="shared" si="28"/>
        <v>0.27766666666666673</v>
      </c>
    </row>
    <row r="82" spans="1:31" x14ac:dyDescent="0.25">
      <c r="A82" s="24"/>
      <c r="B82" s="24"/>
      <c r="N82" s="24"/>
      <c r="O82" s="24"/>
      <c r="P82" s="24"/>
      <c r="Q82" s="24"/>
      <c r="R82" s="24"/>
      <c r="S82" s="24"/>
    </row>
    <row r="83" spans="1:31" x14ac:dyDescent="0.25">
      <c r="A83" s="24"/>
      <c r="B83" s="24"/>
      <c r="N83" s="24"/>
      <c r="O83" s="24"/>
      <c r="P83" s="24"/>
      <c r="Q83" s="24"/>
      <c r="R83" s="24"/>
      <c r="S83" s="24"/>
    </row>
    <row r="84" spans="1:31" x14ac:dyDescent="0.25">
      <c r="A84" s="24"/>
      <c r="B84" s="24"/>
      <c r="N84" s="24"/>
      <c r="O84" s="24"/>
      <c r="P84" s="24"/>
      <c r="Q84" s="24"/>
      <c r="R84" s="24"/>
      <c r="S84" s="24"/>
    </row>
    <row r="85" spans="1:31" x14ac:dyDescent="0.25">
      <c r="A85" s="24"/>
      <c r="B85" s="86"/>
      <c r="N85" s="24"/>
      <c r="O85" s="24"/>
      <c r="P85" s="24"/>
      <c r="Q85" s="24"/>
      <c r="R85" s="24"/>
      <c r="S85" s="24"/>
    </row>
    <row r="86" spans="1:31" x14ac:dyDescent="0.25">
      <c r="A86" s="24"/>
      <c r="B86" s="24"/>
      <c r="N86" s="24"/>
      <c r="O86" s="24"/>
      <c r="P86" s="24"/>
      <c r="Q86" s="24"/>
      <c r="R86" s="24"/>
      <c r="S86" s="24"/>
    </row>
    <row r="87" spans="1:31" x14ac:dyDescent="0.25">
      <c r="A87" s="24"/>
      <c r="B87" s="24"/>
      <c r="N87" s="24"/>
      <c r="O87" s="24"/>
      <c r="P87" s="24"/>
      <c r="Q87" s="24"/>
      <c r="R87" s="24"/>
      <c r="S87" s="24"/>
    </row>
    <row r="88" spans="1:31" x14ac:dyDescent="0.25">
      <c r="A88" s="24"/>
      <c r="B88" s="24"/>
      <c r="N88" s="24"/>
      <c r="O88" s="24"/>
      <c r="P88" s="24"/>
      <c r="Q88" s="24"/>
      <c r="R88" s="24"/>
      <c r="S88" s="24"/>
    </row>
    <row r="89" spans="1:31" x14ac:dyDescent="0.25">
      <c r="A89" s="24"/>
      <c r="B89" s="24"/>
      <c r="N89" s="24"/>
      <c r="O89" s="24"/>
      <c r="P89" s="24"/>
      <c r="Q89" s="24"/>
      <c r="R89" s="24"/>
      <c r="S89" s="24"/>
    </row>
    <row r="90" spans="1:31" x14ac:dyDescent="0.25">
      <c r="A90" s="24"/>
      <c r="B90" s="24"/>
      <c r="C90" s="86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</row>
    <row r="91" spans="1:31" x14ac:dyDescent="0.25">
      <c r="A91" s="160"/>
      <c r="B91" s="160"/>
      <c r="C91" s="86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</row>
    <row r="92" spans="1:31" x14ac:dyDescent="0.25">
      <c r="A92" s="160"/>
      <c r="B92" s="160"/>
      <c r="C92" s="86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</row>
    <row r="93" spans="1:31" x14ac:dyDescent="0.25">
      <c r="A93" s="160"/>
      <c r="B93" s="160"/>
      <c r="C93" s="86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</row>
    <row r="94" spans="1:31" x14ac:dyDescent="0.25">
      <c r="A94" s="160"/>
      <c r="B94" s="160"/>
      <c r="C94" s="86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</row>
  </sheetData>
  <mergeCells count="21">
    <mergeCell ref="Z25:AA25"/>
    <mergeCell ref="Z4:AA4"/>
    <mergeCell ref="Z21:AA21"/>
    <mergeCell ref="Z23:AA23"/>
    <mergeCell ref="Z24:AA24"/>
    <mergeCell ref="Z70:Z73"/>
    <mergeCell ref="Z74:Z77"/>
    <mergeCell ref="Z78:Z81"/>
    <mergeCell ref="A91:B91"/>
    <mergeCell ref="A94:B94"/>
    <mergeCell ref="B67:B70"/>
    <mergeCell ref="B71:B74"/>
    <mergeCell ref="B75:B78"/>
    <mergeCell ref="A92:B92"/>
    <mergeCell ref="A93:B93"/>
    <mergeCell ref="A45:B45"/>
    <mergeCell ref="A56:B56"/>
    <mergeCell ref="A57:B57"/>
    <mergeCell ref="A62:B62"/>
    <mergeCell ref="Z66:Z69"/>
    <mergeCell ref="B63:B66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8E27-92E6-412C-A034-7A9D5EBAFB03}">
  <dimension ref="A3:AW37"/>
  <sheetViews>
    <sheetView topLeftCell="A7" workbookViewId="0">
      <selection activeCell="Q32" sqref="Q32"/>
    </sheetView>
  </sheetViews>
  <sheetFormatPr defaultRowHeight="15" x14ac:dyDescent="0.25"/>
  <cols>
    <col min="1" max="1" width="4.28515625" customWidth="1"/>
    <col min="3" max="3" width="14.42578125" customWidth="1"/>
    <col min="9" max="9" width="13" customWidth="1"/>
    <col min="10" max="10" width="15" customWidth="1"/>
    <col min="13" max="13" width="17" customWidth="1"/>
    <col min="32" max="32" width="13.28515625" customWidth="1"/>
    <col min="36" max="36" width="13.85546875" customWidth="1"/>
  </cols>
  <sheetData>
    <row r="3" spans="1:49" x14ac:dyDescent="0.25">
      <c r="A3" t="s">
        <v>116</v>
      </c>
      <c r="AG3" t="s">
        <v>128</v>
      </c>
    </row>
    <row r="4" spans="1:49" x14ac:dyDescent="0.25">
      <c r="A4" t="s">
        <v>31</v>
      </c>
      <c r="AG4" s="11">
        <v>1</v>
      </c>
      <c r="AH4" s="11">
        <v>2</v>
      </c>
      <c r="AI4" s="11">
        <v>3</v>
      </c>
      <c r="AJ4" s="11">
        <v>4</v>
      </c>
      <c r="AK4" s="11">
        <v>5</v>
      </c>
      <c r="AL4" s="11">
        <v>6</v>
      </c>
      <c r="AM4" s="11">
        <v>7</v>
      </c>
      <c r="AN4" s="11">
        <v>8</v>
      </c>
      <c r="AO4" s="11">
        <v>9</v>
      </c>
      <c r="AP4" s="11">
        <v>10</v>
      </c>
      <c r="AQ4" s="11">
        <v>11</v>
      </c>
      <c r="AR4" s="11">
        <v>12</v>
      </c>
    </row>
    <row r="5" spans="1:49" x14ac:dyDescent="0.25">
      <c r="A5" t="s">
        <v>166</v>
      </c>
      <c r="AF5" s="11" t="s">
        <v>38</v>
      </c>
      <c r="AG5" s="12">
        <v>0.70299999999999996</v>
      </c>
      <c r="AH5" s="13">
        <v>0.72699999999999998</v>
      </c>
      <c r="AI5" s="13">
        <v>8.7999999999999995E-2</v>
      </c>
      <c r="AJ5" s="13">
        <v>8.7999999999999995E-2</v>
      </c>
      <c r="AK5" s="13">
        <v>9.0999999999999998E-2</v>
      </c>
      <c r="AL5" s="13">
        <v>9.1999999999999998E-2</v>
      </c>
      <c r="AM5" s="13">
        <v>9.0999999999999998E-2</v>
      </c>
      <c r="AN5" s="13">
        <v>9.4E-2</v>
      </c>
      <c r="AO5" s="13">
        <v>9.9000000000000005E-2</v>
      </c>
      <c r="AP5" s="13">
        <v>0.1</v>
      </c>
      <c r="AQ5" s="13"/>
      <c r="AR5" s="14"/>
      <c r="AU5">
        <v>2000</v>
      </c>
      <c r="AV5">
        <f>AVERAGE(AG5:AH5)</f>
        <v>0.71499999999999997</v>
      </c>
      <c r="AW5">
        <f>AV5-$Q$22</f>
        <v>0.71499999999999997</v>
      </c>
    </row>
    <row r="6" spans="1:49" x14ac:dyDescent="0.25">
      <c r="A6" t="s">
        <v>141</v>
      </c>
      <c r="AF6" s="11" t="s">
        <v>40</v>
      </c>
      <c r="AG6" s="15">
        <v>0.39200000000000002</v>
      </c>
      <c r="AH6" s="16">
        <v>0.40300000000000002</v>
      </c>
      <c r="AI6" s="16">
        <v>8.5000000000000006E-2</v>
      </c>
      <c r="AJ6" s="16">
        <v>8.5000000000000006E-2</v>
      </c>
      <c r="AK6" s="16">
        <v>9.0999999999999998E-2</v>
      </c>
      <c r="AL6" s="16">
        <v>0.09</v>
      </c>
      <c r="AM6" s="16">
        <v>9.0999999999999998E-2</v>
      </c>
      <c r="AN6" s="16"/>
      <c r="AO6" s="16">
        <v>9.7000000000000003E-2</v>
      </c>
      <c r="AP6" s="16">
        <v>9.6000000000000002E-2</v>
      </c>
      <c r="AQ6" s="16"/>
      <c r="AR6" s="17"/>
      <c r="AV6">
        <f t="shared" ref="AV6:AV12" si="0">AVERAGE(AG6:AH6)</f>
        <v>0.39750000000000002</v>
      </c>
    </row>
    <row r="7" spans="1:49" x14ac:dyDescent="0.25">
      <c r="A7" t="s">
        <v>167</v>
      </c>
      <c r="AF7" s="11" t="s">
        <v>41</v>
      </c>
      <c r="AG7" s="15">
        <v>0.27800000000000002</v>
      </c>
      <c r="AH7" s="16"/>
      <c r="AI7" s="16">
        <v>0.09</v>
      </c>
      <c r="AJ7" s="16">
        <v>8.5999999999999993E-2</v>
      </c>
      <c r="AK7" s="16">
        <v>9.1999999999999998E-2</v>
      </c>
      <c r="AL7" s="16">
        <v>9.0999999999999998E-2</v>
      </c>
      <c r="AM7" s="16">
        <v>9.2999999999999999E-2</v>
      </c>
      <c r="AN7" s="16">
        <v>9.4E-2</v>
      </c>
      <c r="AO7" s="16">
        <v>9.9000000000000005E-2</v>
      </c>
      <c r="AP7" s="16">
        <v>9.6000000000000002E-2</v>
      </c>
      <c r="AQ7" s="16"/>
      <c r="AR7" s="17"/>
      <c r="AU7">
        <v>500</v>
      </c>
      <c r="AV7">
        <f t="shared" si="0"/>
        <v>0.27800000000000002</v>
      </c>
      <c r="AW7">
        <f t="shared" ref="AW7:AW12" si="1">AV7-$Q$22</f>
        <v>0.27800000000000002</v>
      </c>
    </row>
    <row r="8" spans="1:49" x14ac:dyDescent="0.25">
      <c r="A8" t="s">
        <v>168</v>
      </c>
      <c r="AF8" s="11" t="s">
        <v>42</v>
      </c>
      <c r="AG8" s="15">
        <v>0.18099999999999999</v>
      </c>
      <c r="AH8" s="16">
        <v>0.188</v>
      </c>
      <c r="AI8" s="16">
        <v>8.7999999999999995E-2</v>
      </c>
      <c r="AJ8" s="16">
        <v>8.5000000000000006E-2</v>
      </c>
      <c r="AK8" s="16">
        <v>9.4E-2</v>
      </c>
      <c r="AL8" s="16">
        <v>9.4E-2</v>
      </c>
      <c r="AM8" s="16">
        <v>9.6000000000000002E-2</v>
      </c>
      <c r="AN8" s="16">
        <v>9.4E-2</v>
      </c>
      <c r="AO8" s="16">
        <v>0.10199999999999999</v>
      </c>
      <c r="AP8" s="16">
        <v>0.1</v>
      </c>
      <c r="AQ8" s="16"/>
      <c r="AR8" s="17"/>
      <c r="AU8">
        <f t="shared" ref="AU8:AU11" si="2">AU7/2</f>
        <v>250</v>
      </c>
      <c r="AV8">
        <f t="shared" si="0"/>
        <v>0.1845</v>
      </c>
      <c r="AW8">
        <f t="shared" si="1"/>
        <v>0.1845</v>
      </c>
    </row>
    <row r="9" spans="1:49" x14ac:dyDescent="0.25">
      <c r="A9" t="s">
        <v>125</v>
      </c>
      <c r="D9" t="s">
        <v>126</v>
      </c>
      <c r="AF9" s="11" t="s">
        <v>43</v>
      </c>
      <c r="AG9" s="15">
        <v>0.14099999999999999</v>
      </c>
      <c r="AH9" s="16">
        <v>0.14699999999999999</v>
      </c>
      <c r="AI9" s="16">
        <v>8.6999999999999994E-2</v>
      </c>
      <c r="AJ9" s="16">
        <v>8.5999999999999993E-2</v>
      </c>
      <c r="AK9" s="16">
        <v>9.2999999999999999E-2</v>
      </c>
      <c r="AL9" s="16">
        <v>9.5000000000000001E-2</v>
      </c>
      <c r="AM9" s="16">
        <v>9.6000000000000002E-2</v>
      </c>
      <c r="AN9" s="16">
        <v>9.6000000000000002E-2</v>
      </c>
      <c r="AO9" s="16">
        <v>0.1</v>
      </c>
      <c r="AP9" s="16">
        <v>9.9000000000000005E-2</v>
      </c>
      <c r="AQ9" s="16"/>
      <c r="AR9" s="17"/>
      <c r="AU9">
        <f t="shared" si="2"/>
        <v>125</v>
      </c>
      <c r="AV9">
        <f t="shared" si="0"/>
        <v>0.14399999999999999</v>
      </c>
      <c r="AW9">
        <f t="shared" si="1"/>
        <v>0.14399999999999999</v>
      </c>
    </row>
    <row r="10" spans="1:49" x14ac:dyDescent="0.25">
      <c r="AF10" s="11" t="s">
        <v>44</v>
      </c>
      <c r="AG10" s="15">
        <v>0.111</v>
      </c>
      <c r="AH10" s="16">
        <v>0.115</v>
      </c>
      <c r="AI10" s="16">
        <v>0.09</v>
      </c>
      <c r="AJ10" s="16">
        <v>8.8999999999999996E-2</v>
      </c>
      <c r="AK10" s="16">
        <v>9.7000000000000003E-2</v>
      </c>
      <c r="AL10" s="16">
        <v>9.8000000000000004E-2</v>
      </c>
      <c r="AM10" s="16">
        <v>9.7000000000000003E-2</v>
      </c>
      <c r="AN10" s="16">
        <v>9.7000000000000003E-2</v>
      </c>
      <c r="AO10" s="16">
        <v>0.10199999999999999</v>
      </c>
      <c r="AP10" s="16">
        <v>0.10100000000000001</v>
      </c>
      <c r="AQ10" s="16"/>
      <c r="AR10" s="17"/>
      <c r="AU10">
        <f t="shared" si="2"/>
        <v>62.5</v>
      </c>
      <c r="AV10">
        <f t="shared" si="0"/>
        <v>0.113</v>
      </c>
      <c r="AW10">
        <f t="shared" si="1"/>
        <v>0.113</v>
      </c>
    </row>
    <row r="11" spans="1:49" x14ac:dyDescent="0.25">
      <c r="AF11" s="11" t="s">
        <v>45</v>
      </c>
      <c r="AG11" s="15">
        <v>9.7000000000000003E-2</v>
      </c>
      <c r="AH11" s="16">
        <v>0.1</v>
      </c>
      <c r="AI11" s="16"/>
      <c r="AJ11" s="16"/>
      <c r="AK11" s="16"/>
      <c r="AL11" s="16"/>
      <c r="AM11" s="16"/>
      <c r="AN11" s="16"/>
      <c r="AO11" s="16"/>
      <c r="AP11" s="16"/>
      <c r="AQ11" s="16"/>
      <c r="AR11" s="17"/>
      <c r="AU11">
        <f t="shared" si="2"/>
        <v>31.25</v>
      </c>
      <c r="AV11">
        <f t="shared" si="0"/>
        <v>9.8500000000000004E-2</v>
      </c>
      <c r="AW11">
        <f>AV11-$Q$22</f>
        <v>9.8500000000000004E-2</v>
      </c>
    </row>
    <row r="12" spans="1:49" x14ac:dyDescent="0.25">
      <c r="AF12" s="11" t="s">
        <v>46</v>
      </c>
      <c r="AG12" s="18">
        <v>7.3999999999999996E-2</v>
      </c>
      <c r="AH12" s="19">
        <v>7.1999999999999995E-2</v>
      </c>
      <c r="AI12" s="19"/>
      <c r="AJ12" s="19"/>
      <c r="AK12" s="19"/>
      <c r="AL12" s="19"/>
      <c r="AM12" s="19"/>
      <c r="AN12" s="19"/>
      <c r="AO12" s="19"/>
      <c r="AP12" s="19"/>
      <c r="AQ12" s="19"/>
      <c r="AR12" s="20"/>
      <c r="AU12">
        <v>0</v>
      </c>
      <c r="AV12">
        <f t="shared" si="0"/>
        <v>7.2999999999999995E-2</v>
      </c>
      <c r="AW12">
        <f t="shared" si="1"/>
        <v>7.2999999999999995E-2</v>
      </c>
    </row>
    <row r="13" spans="1:49" x14ac:dyDescent="0.25">
      <c r="B13" t="s">
        <v>150</v>
      </c>
      <c r="AH13" s="1" t="s">
        <v>47</v>
      </c>
      <c r="AI13" s="1" t="s">
        <v>48</v>
      </c>
      <c r="AJ13" s="1" t="s">
        <v>169</v>
      </c>
      <c r="AK13" s="1" t="s">
        <v>170</v>
      </c>
    </row>
    <row r="14" spans="1:49" x14ac:dyDescent="0.25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  <c r="L14" s="11">
        <v>11</v>
      </c>
      <c r="M14" s="11">
        <v>12</v>
      </c>
      <c r="AF14" s="159" t="s">
        <v>189</v>
      </c>
      <c r="AG14" s="11">
        <v>1</v>
      </c>
      <c r="AH14">
        <f>AVERAGE(AM5:AN5)</f>
        <v>9.2499999999999999E-2</v>
      </c>
      <c r="AI14">
        <f>AH14-$AV$12</f>
        <v>1.9500000000000003E-2</v>
      </c>
      <c r="AJ14" s="83">
        <f t="shared" ref="AJ14:AJ16" si="3">(AI14-0.01)/0.0005</f>
        <v>19.000000000000007</v>
      </c>
      <c r="AK14">
        <f t="shared" ref="AK14:AK16" si="4">AJ14/1000</f>
        <v>1.9000000000000006E-2</v>
      </c>
    </row>
    <row r="15" spans="1:49" x14ac:dyDescent="0.25">
      <c r="A15" s="11" t="s">
        <v>38</v>
      </c>
      <c r="B15" s="12">
        <v>0.16300000000000001</v>
      </c>
      <c r="C15" s="13">
        <v>0.23100000000000001</v>
      </c>
      <c r="D15" s="13">
        <v>0.22900000000000001</v>
      </c>
      <c r="E15" s="13">
        <v>0.64600000000000002</v>
      </c>
      <c r="F15" s="13">
        <v>0.63</v>
      </c>
      <c r="G15" s="13">
        <v>0.49299999999999999</v>
      </c>
      <c r="H15" s="13">
        <v>0.57599999999999996</v>
      </c>
      <c r="I15" s="13">
        <v>0.34300000000000003</v>
      </c>
      <c r="J15" s="13">
        <v>0.34899999999999998</v>
      </c>
      <c r="K15" s="13">
        <v>0.38100000000000001</v>
      </c>
      <c r="L15" s="13">
        <v>0.374</v>
      </c>
      <c r="M15" s="14"/>
      <c r="O15" t="s">
        <v>154</v>
      </c>
      <c r="P15">
        <f>AVERAGE(C15:D15)</f>
        <v>0.23</v>
      </c>
      <c r="Q15">
        <f>P15-$C$26</f>
        <v>6.5500000000000003E-2</v>
      </c>
      <c r="R15">
        <v>200</v>
      </c>
      <c r="S15">
        <f>LOG(R15)</f>
        <v>2.3010299956639813</v>
      </c>
      <c r="AF15" s="159"/>
      <c r="AG15" s="11">
        <v>2</v>
      </c>
      <c r="AH15">
        <f>AVERAGE(AM6:AN6)</f>
        <v>9.0999999999999998E-2</v>
      </c>
      <c r="AI15">
        <f t="shared" ref="AI15:AI16" si="5">AH15-$AV$12</f>
        <v>1.8000000000000002E-2</v>
      </c>
      <c r="AJ15" s="83">
        <f t="shared" si="3"/>
        <v>16.000000000000004</v>
      </c>
      <c r="AK15">
        <f t="shared" si="4"/>
        <v>1.6000000000000004E-2</v>
      </c>
    </row>
    <row r="16" spans="1:49" x14ac:dyDescent="0.25">
      <c r="A16" s="11" t="s">
        <v>40</v>
      </c>
      <c r="B16" s="15">
        <v>0.16500000000000001</v>
      </c>
      <c r="C16" s="16">
        <v>0.34699999999999998</v>
      </c>
      <c r="D16" s="16">
        <v>0.34599999999999997</v>
      </c>
      <c r="E16" s="16">
        <v>0.65400000000000003</v>
      </c>
      <c r="F16" s="16">
        <v>0.58699999999999997</v>
      </c>
      <c r="G16" s="16">
        <v>0.57699999999999996</v>
      </c>
      <c r="H16" s="16">
        <v>0.56999999999999995</v>
      </c>
      <c r="I16" s="16">
        <v>0.36</v>
      </c>
      <c r="J16" s="16">
        <v>0.34</v>
      </c>
      <c r="K16" s="16">
        <v>0.443</v>
      </c>
      <c r="L16" s="16">
        <v>0.47499999999999998</v>
      </c>
      <c r="M16" s="17"/>
      <c r="O16" t="s">
        <v>155</v>
      </c>
      <c r="P16">
        <f>AVERAGE(C16:D16)</f>
        <v>0.34649999999999997</v>
      </c>
      <c r="Q16">
        <f t="shared" ref="Q16:Q19" si="6">P16-$C$26</f>
        <v>0.18199999999999997</v>
      </c>
      <c r="R16">
        <v>52</v>
      </c>
      <c r="S16">
        <f t="shared" ref="S16:S19" si="7">LOG(R16)</f>
        <v>1.7160033436347992</v>
      </c>
      <c r="AF16" s="159"/>
      <c r="AG16" s="11">
        <v>3</v>
      </c>
      <c r="AH16">
        <f>AVERAGE(AM7:AN7)</f>
        <v>9.35E-2</v>
      </c>
      <c r="AI16">
        <f t="shared" si="5"/>
        <v>2.0500000000000004E-2</v>
      </c>
      <c r="AJ16" s="83">
        <f t="shared" si="3"/>
        <v>21.000000000000007</v>
      </c>
      <c r="AK16">
        <f t="shared" si="4"/>
        <v>2.1000000000000008E-2</v>
      </c>
    </row>
    <row r="17" spans="1:37" x14ac:dyDescent="0.25">
      <c r="A17" s="11" t="s">
        <v>41</v>
      </c>
      <c r="B17" s="15">
        <v>0.372</v>
      </c>
      <c r="C17" s="16">
        <v>0.54100000000000004</v>
      </c>
      <c r="D17" s="16">
        <v>0.53100000000000003</v>
      </c>
      <c r="E17" s="16">
        <v>0.73699999999999999</v>
      </c>
      <c r="F17" s="16">
        <v>0.67</v>
      </c>
      <c r="G17" s="16">
        <v>0.54500000000000004</v>
      </c>
      <c r="H17" s="16">
        <v>0.53500000000000003</v>
      </c>
      <c r="I17" s="16">
        <v>0.373</v>
      </c>
      <c r="J17" s="16">
        <v>0.35199999999999998</v>
      </c>
      <c r="K17" s="16">
        <v>0.41199999999999998</v>
      </c>
      <c r="L17" s="16">
        <v>0.32900000000000001</v>
      </c>
      <c r="M17" s="17"/>
      <c r="O17" t="s">
        <v>156</v>
      </c>
      <c r="P17">
        <f t="shared" ref="P17:P19" si="8">AVERAGE(C17:D17)</f>
        <v>0.53600000000000003</v>
      </c>
      <c r="Q17">
        <f t="shared" si="6"/>
        <v>0.37150000000000005</v>
      </c>
      <c r="R17">
        <v>12.5</v>
      </c>
      <c r="S17">
        <f t="shared" si="7"/>
        <v>1.0969100130080565</v>
      </c>
      <c r="AF17" s="159" t="s">
        <v>190</v>
      </c>
      <c r="AG17" s="11">
        <v>1</v>
      </c>
      <c r="AH17">
        <f t="shared" ref="AH17:AH22" si="9">AVERAGE(AO5:AP5)</f>
        <v>9.9500000000000005E-2</v>
      </c>
      <c r="AI17">
        <f t="shared" ref="AI17:AI22" si="10">AH17-$AV$12</f>
        <v>2.650000000000001E-2</v>
      </c>
      <c r="AJ17" s="83">
        <f t="shared" ref="AJ17:AJ22" si="11">(AI17-0.01)/0.0005</f>
        <v>33.000000000000014</v>
      </c>
      <c r="AK17">
        <f t="shared" ref="AK17:AK22" si="12">AJ17/1000</f>
        <v>3.3000000000000015E-2</v>
      </c>
    </row>
    <row r="18" spans="1:37" x14ac:dyDescent="0.25">
      <c r="A18" s="11" t="s">
        <v>42</v>
      </c>
      <c r="B18" s="15">
        <v>0.36</v>
      </c>
      <c r="C18" s="16">
        <v>0.72899999999999998</v>
      </c>
      <c r="D18" s="16">
        <v>0.72099999999999997</v>
      </c>
      <c r="E18" s="16">
        <v>0.65400000000000003</v>
      </c>
      <c r="F18" s="16">
        <v>0.59499999999999997</v>
      </c>
      <c r="G18" s="16">
        <v>0.52600000000000002</v>
      </c>
      <c r="H18" s="16">
        <v>0.501</v>
      </c>
      <c r="I18" s="16">
        <v>0.38700000000000001</v>
      </c>
      <c r="J18" s="16">
        <v>0.39100000000000001</v>
      </c>
      <c r="K18" s="16">
        <v>0.41199999999999998</v>
      </c>
      <c r="L18" s="16">
        <v>0.41599999999999998</v>
      </c>
      <c r="M18" s="17"/>
      <c r="O18" t="s">
        <v>157</v>
      </c>
      <c r="P18">
        <f t="shared" si="8"/>
        <v>0.72499999999999998</v>
      </c>
      <c r="R18">
        <v>3.13</v>
      </c>
      <c r="AF18" s="159"/>
      <c r="AG18" s="11">
        <v>2</v>
      </c>
      <c r="AH18">
        <f t="shared" si="9"/>
        <v>9.6500000000000002E-2</v>
      </c>
      <c r="AI18">
        <f t="shared" si="10"/>
        <v>2.3500000000000007E-2</v>
      </c>
      <c r="AJ18" s="83">
        <f t="shared" si="11"/>
        <v>27.000000000000014</v>
      </c>
      <c r="AK18">
        <f t="shared" si="12"/>
        <v>2.7000000000000014E-2</v>
      </c>
    </row>
    <row r="19" spans="1:37" x14ac:dyDescent="0.25">
      <c r="A19" s="11" t="s">
        <v>43</v>
      </c>
      <c r="B19" s="15">
        <v>0.16400000000000001</v>
      </c>
      <c r="C19" s="16">
        <v>0.872</v>
      </c>
      <c r="D19" s="16">
        <v>0.84499999999999997</v>
      </c>
      <c r="E19" s="16">
        <v>0.57999999999999996</v>
      </c>
      <c r="F19" s="16">
        <v>0.625</v>
      </c>
      <c r="G19" s="16">
        <v>0.55300000000000005</v>
      </c>
      <c r="H19" s="16">
        <v>0.53800000000000003</v>
      </c>
      <c r="I19" s="16">
        <v>0.39100000000000001</v>
      </c>
      <c r="J19" s="16">
        <v>0.40200000000000002</v>
      </c>
      <c r="K19" s="16">
        <v>0.442</v>
      </c>
      <c r="L19" s="16">
        <v>0.42899999999999999</v>
      </c>
      <c r="M19" s="17"/>
      <c r="O19" t="s">
        <v>158</v>
      </c>
      <c r="P19">
        <f t="shared" si="8"/>
        <v>0.85850000000000004</v>
      </c>
      <c r="Q19">
        <f t="shared" si="6"/>
        <v>0.69400000000000006</v>
      </c>
      <c r="R19">
        <v>0.78</v>
      </c>
      <c r="S19">
        <f t="shared" si="7"/>
        <v>-0.10790539730951958</v>
      </c>
      <c r="AF19" s="159"/>
      <c r="AG19" s="11">
        <v>3</v>
      </c>
      <c r="AH19">
        <f t="shared" si="9"/>
        <v>9.7500000000000003E-2</v>
      </c>
      <c r="AI19">
        <f t="shared" si="10"/>
        <v>2.4500000000000008E-2</v>
      </c>
      <c r="AJ19" s="83">
        <f t="shared" si="11"/>
        <v>29.000000000000014</v>
      </c>
      <c r="AK19">
        <f t="shared" si="12"/>
        <v>2.9000000000000015E-2</v>
      </c>
    </row>
    <row r="20" spans="1:37" x14ac:dyDescent="0.25">
      <c r="A20" s="11" t="s">
        <v>44</v>
      </c>
      <c r="B20" s="15">
        <v>0.16500000000000001</v>
      </c>
      <c r="C20" s="16"/>
      <c r="D20" s="16"/>
      <c r="E20" s="16">
        <v>0.64500000000000002</v>
      </c>
      <c r="F20" s="16">
        <v>0.61399999999999999</v>
      </c>
      <c r="G20" s="16">
        <v>0.502</v>
      </c>
      <c r="H20" s="16">
        <v>0.49099999999999999</v>
      </c>
      <c r="I20" s="16">
        <v>0.372</v>
      </c>
      <c r="J20" s="16">
        <v>0.38200000000000001</v>
      </c>
      <c r="K20" s="16">
        <v>0.40300000000000002</v>
      </c>
      <c r="L20" s="16">
        <v>0.42299999999999999</v>
      </c>
      <c r="M20" s="17"/>
      <c r="AF20" s="159"/>
      <c r="AG20" s="11">
        <v>4</v>
      </c>
      <c r="AH20">
        <f t="shared" si="9"/>
        <v>0.10100000000000001</v>
      </c>
      <c r="AI20">
        <f t="shared" si="10"/>
        <v>2.8000000000000011E-2</v>
      </c>
      <c r="AJ20" s="83">
        <f t="shared" si="11"/>
        <v>36.000000000000014</v>
      </c>
      <c r="AK20">
        <f t="shared" si="12"/>
        <v>3.6000000000000011E-2</v>
      </c>
    </row>
    <row r="21" spans="1:37" x14ac:dyDescent="0.25">
      <c r="A21" s="11" t="s">
        <v>45</v>
      </c>
      <c r="B21" s="15">
        <v>0.96699999999999997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AF21" s="159"/>
      <c r="AG21" s="11">
        <v>5</v>
      </c>
      <c r="AH21">
        <f t="shared" si="9"/>
        <v>9.9500000000000005E-2</v>
      </c>
      <c r="AI21">
        <f t="shared" si="10"/>
        <v>2.650000000000001E-2</v>
      </c>
      <c r="AJ21" s="83">
        <f t="shared" si="11"/>
        <v>33.000000000000014</v>
      </c>
      <c r="AK21">
        <f t="shared" si="12"/>
        <v>3.3000000000000015E-2</v>
      </c>
    </row>
    <row r="22" spans="1:37" x14ac:dyDescent="0.25">
      <c r="A22" s="11" t="s">
        <v>46</v>
      </c>
      <c r="B22" s="18">
        <v>0.98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20"/>
      <c r="AF22" s="159"/>
      <c r="AG22" s="11">
        <v>6</v>
      </c>
      <c r="AH22">
        <f t="shared" si="9"/>
        <v>0.10150000000000001</v>
      </c>
      <c r="AI22">
        <f t="shared" si="10"/>
        <v>2.8500000000000011E-2</v>
      </c>
      <c r="AJ22" s="83">
        <f t="shared" si="11"/>
        <v>37.000000000000021</v>
      </c>
      <c r="AK22">
        <f t="shared" si="12"/>
        <v>3.7000000000000019E-2</v>
      </c>
    </row>
    <row r="24" spans="1:37" x14ac:dyDescent="0.25">
      <c r="B24" t="s">
        <v>173</v>
      </c>
      <c r="C24">
        <f>AVERAGE(B15:B16)</f>
        <v>0.16400000000000001</v>
      </c>
      <c r="D24">
        <f>C24-$C$25</f>
        <v>-0.20199999999999999</v>
      </c>
    </row>
    <row r="25" spans="1:37" x14ac:dyDescent="0.25">
      <c r="B25" t="s">
        <v>151</v>
      </c>
      <c r="C25">
        <f>AVERAGE(B17:B18)</f>
        <v>0.36599999999999999</v>
      </c>
      <c r="D25">
        <f t="shared" ref="D25:D27" si="13">C25-$C$25</f>
        <v>0</v>
      </c>
    </row>
    <row r="26" spans="1:37" x14ac:dyDescent="0.25">
      <c r="B26" t="s">
        <v>152</v>
      </c>
      <c r="C26">
        <f>AVERAGE(B19:B20)</f>
        <v>0.16450000000000001</v>
      </c>
      <c r="D26">
        <f>C26-$C$25</f>
        <v>-0.20149999999999998</v>
      </c>
    </row>
    <row r="27" spans="1:37" x14ac:dyDescent="0.25">
      <c r="B27" t="s">
        <v>153</v>
      </c>
      <c r="C27">
        <f>AVERAGE(B21:B22)</f>
        <v>0.97350000000000003</v>
      </c>
      <c r="D27">
        <f t="shared" si="13"/>
        <v>0.60750000000000004</v>
      </c>
      <c r="I27" s="1" t="s">
        <v>159</v>
      </c>
    </row>
    <row r="28" spans="1:37" x14ac:dyDescent="0.25">
      <c r="E28" s="11" t="s">
        <v>174</v>
      </c>
      <c r="F28" s="11" t="s">
        <v>175</v>
      </c>
      <c r="H28" t="s">
        <v>181</v>
      </c>
      <c r="I28" s="1" t="s">
        <v>160</v>
      </c>
      <c r="J28" s="1" t="s">
        <v>176</v>
      </c>
      <c r="K28" s="1" t="s">
        <v>162</v>
      </c>
      <c r="L28" s="1" t="s">
        <v>6</v>
      </c>
      <c r="M28" s="1" t="s">
        <v>177</v>
      </c>
    </row>
    <row r="29" spans="1:37" x14ac:dyDescent="0.25">
      <c r="C29" s="159" t="s">
        <v>189</v>
      </c>
      <c r="D29" s="11">
        <v>1</v>
      </c>
      <c r="E29">
        <f>AVERAGE(I15:J15)</f>
        <v>0.34599999999999997</v>
      </c>
      <c r="F29">
        <f>E29-$C$26</f>
        <v>0.18149999999999997</v>
      </c>
      <c r="G29">
        <f>(-3.7492*F29)+2.4822</f>
        <v>1.8017202000000003</v>
      </c>
      <c r="H29">
        <f>10^G29</f>
        <v>63.34614637828215</v>
      </c>
      <c r="I29">
        <f>H29*4</f>
        <v>253.3845855131286</v>
      </c>
      <c r="J29" s="3">
        <v>1.9000000000000006E-2</v>
      </c>
      <c r="K29">
        <f>I29/J29</f>
        <v>13336.030816480448</v>
      </c>
      <c r="L29">
        <f>AVERAGE(K29:K31)</f>
        <v>13033.025514730187</v>
      </c>
      <c r="M29">
        <f>(K29/$L$29)*100</f>
        <v>102.32490377163612</v>
      </c>
    </row>
    <row r="30" spans="1:37" x14ac:dyDescent="0.25">
      <c r="C30" s="159"/>
      <c r="D30" s="11">
        <v>2</v>
      </c>
      <c r="E30">
        <f>AVERAGE(I16:J16)</f>
        <v>0.35</v>
      </c>
      <c r="F30">
        <f t="shared" ref="F30:F37" si="14">E30-$C$26</f>
        <v>0.18549999999999997</v>
      </c>
      <c r="G30">
        <f t="shared" ref="G30:G37" si="15">(-3.7492*F30)+2.4822</f>
        <v>1.7867234000000003</v>
      </c>
      <c r="H30">
        <f t="shared" ref="H30:H37" si="16">10^G30</f>
        <v>61.196051296865122</v>
      </c>
      <c r="I30">
        <f t="shared" ref="I30:I37" si="17">H30*4</f>
        <v>244.78420518746049</v>
      </c>
      <c r="J30" s="3">
        <v>1.6000000000000004E-2</v>
      </c>
      <c r="K30">
        <f t="shared" ref="K30:K37" si="18">I30/J30</f>
        <v>15299.012824216277</v>
      </c>
      <c r="M30">
        <f t="shared" ref="M30:M37" si="19">(K30/$L$29)*100</f>
        <v>117.38650251950344</v>
      </c>
    </row>
    <row r="31" spans="1:37" x14ac:dyDescent="0.25">
      <c r="C31" s="159"/>
      <c r="D31" s="11">
        <v>3</v>
      </c>
      <c r="E31">
        <f>AVERAGE(I17:J17)</f>
        <v>0.36249999999999999</v>
      </c>
      <c r="F31">
        <f t="shared" si="14"/>
        <v>0.19799999999999998</v>
      </c>
      <c r="G31">
        <f t="shared" si="15"/>
        <v>1.7398584000000001</v>
      </c>
      <c r="H31">
        <f t="shared" si="16"/>
        <v>54.936172743342638</v>
      </c>
      <c r="I31">
        <f t="shared" si="17"/>
        <v>219.74469097337055</v>
      </c>
      <c r="J31" s="3">
        <v>2.1000000000000008E-2</v>
      </c>
      <c r="K31">
        <f t="shared" si="18"/>
        <v>10464.032903493831</v>
      </c>
      <c r="M31">
        <f t="shared" si="19"/>
        <v>80.288593708860404</v>
      </c>
    </row>
    <row r="32" spans="1:37" x14ac:dyDescent="0.25">
      <c r="C32" s="159" t="s">
        <v>190</v>
      </c>
      <c r="D32" s="11">
        <v>1</v>
      </c>
      <c r="E32">
        <f>AVERAGE(K15:L15)</f>
        <v>0.3775</v>
      </c>
      <c r="F32">
        <f t="shared" si="14"/>
        <v>0.21299999999999999</v>
      </c>
      <c r="G32">
        <f t="shared" si="15"/>
        <v>1.6836204000000001</v>
      </c>
      <c r="H32">
        <f t="shared" si="16"/>
        <v>48.26367635053019</v>
      </c>
      <c r="I32">
        <f t="shared" si="17"/>
        <v>193.05470540212076</v>
      </c>
      <c r="J32" s="3">
        <v>3.3000000000000015E-2</v>
      </c>
      <c r="K32">
        <f t="shared" si="18"/>
        <v>5850.1425879430508</v>
      </c>
      <c r="M32">
        <f t="shared" si="19"/>
        <v>44.887064644591554</v>
      </c>
    </row>
    <row r="33" spans="3:13" x14ac:dyDescent="0.25">
      <c r="C33" s="159"/>
      <c r="D33" s="11">
        <v>2</v>
      </c>
      <c r="E33">
        <f>AVERAGE(K16:L16)</f>
        <v>0.45899999999999996</v>
      </c>
      <c r="F33">
        <f t="shared" si="14"/>
        <v>0.29449999999999998</v>
      </c>
      <c r="G33">
        <f t="shared" si="15"/>
        <v>1.3780606000000002</v>
      </c>
      <c r="H33">
        <f t="shared" si="16"/>
        <v>23.881444933632682</v>
      </c>
      <c r="I33">
        <f t="shared" si="17"/>
        <v>95.52577973453073</v>
      </c>
      <c r="J33" s="3">
        <v>2.7000000000000014E-2</v>
      </c>
      <c r="K33">
        <f t="shared" si="18"/>
        <v>3537.991842019655</v>
      </c>
      <c r="M33">
        <f t="shared" si="19"/>
        <v>27.146358595100928</v>
      </c>
    </row>
    <row r="34" spans="3:13" x14ac:dyDescent="0.25">
      <c r="C34" s="159"/>
      <c r="D34" s="11">
        <v>3</v>
      </c>
      <c r="E34">
        <f>AVERAGE(K17)</f>
        <v>0.41199999999999998</v>
      </c>
      <c r="F34">
        <f t="shared" si="14"/>
        <v>0.24749999999999997</v>
      </c>
      <c r="G34">
        <f t="shared" si="15"/>
        <v>1.5542730000000002</v>
      </c>
      <c r="H34">
        <f t="shared" si="16"/>
        <v>35.832160933989506</v>
      </c>
      <c r="I34">
        <f t="shared" si="17"/>
        <v>143.32864373595802</v>
      </c>
      <c r="J34" s="3">
        <v>2.9000000000000015E-2</v>
      </c>
      <c r="K34">
        <f t="shared" si="18"/>
        <v>4942.36702537786</v>
      </c>
      <c r="M34">
        <f t="shared" si="19"/>
        <v>37.921870250249242</v>
      </c>
    </row>
    <row r="35" spans="3:13" x14ac:dyDescent="0.25">
      <c r="C35" s="159"/>
      <c r="D35" s="11">
        <v>4</v>
      </c>
      <c r="E35">
        <f>AVERAGE(K18:L18)</f>
        <v>0.41399999999999998</v>
      </c>
      <c r="F35">
        <f t="shared" si="14"/>
        <v>0.24949999999999997</v>
      </c>
      <c r="G35">
        <f t="shared" si="15"/>
        <v>1.5467746000000002</v>
      </c>
      <c r="H35">
        <f t="shared" si="16"/>
        <v>35.218803706584225</v>
      </c>
      <c r="I35">
        <f t="shared" si="17"/>
        <v>140.8752148263369</v>
      </c>
      <c r="J35" s="3">
        <v>3.6000000000000011E-2</v>
      </c>
      <c r="K35">
        <f t="shared" si="18"/>
        <v>3913.2004118426903</v>
      </c>
      <c r="M35">
        <f t="shared" si="19"/>
        <v>30.025264720151988</v>
      </c>
    </row>
    <row r="36" spans="3:13" x14ac:dyDescent="0.25">
      <c r="C36" s="159"/>
      <c r="D36" s="11">
        <v>5</v>
      </c>
      <c r="E36">
        <f>AVERAGE(K19:L19)</f>
        <v>0.4355</v>
      </c>
      <c r="F36">
        <f t="shared" si="14"/>
        <v>0.27100000000000002</v>
      </c>
      <c r="G36">
        <f t="shared" si="15"/>
        <v>1.4661668000000001</v>
      </c>
      <c r="H36">
        <f t="shared" si="16"/>
        <v>29.252756762365735</v>
      </c>
      <c r="I36">
        <f t="shared" si="17"/>
        <v>117.01102704946294</v>
      </c>
      <c r="J36" s="3">
        <v>3.3000000000000015E-2</v>
      </c>
      <c r="K36">
        <f t="shared" si="18"/>
        <v>3545.7886984685724</v>
      </c>
      <c r="M36">
        <f t="shared" si="19"/>
        <v>27.206182436004983</v>
      </c>
    </row>
    <row r="37" spans="3:13" x14ac:dyDescent="0.25">
      <c r="C37" s="159"/>
      <c r="D37" s="11">
        <v>6</v>
      </c>
      <c r="E37">
        <f>AVERAGE(K20:L20)</f>
        <v>0.41300000000000003</v>
      </c>
      <c r="F37">
        <f t="shared" si="14"/>
        <v>0.24850000000000003</v>
      </c>
      <c r="G37">
        <f t="shared" si="15"/>
        <v>1.5505238000000001</v>
      </c>
      <c r="H37">
        <f t="shared" si="16"/>
        <v>35.524158572961468</v>
      </c>
      <c r="I37">
        <f t="shared" si="17"/>
        <v>142.09663429184587</v>
      </c>
      <c r="J37" s="3">
        <v>3.7000000000000019E-2</v>
      </c>
      <c r="K37">
        <f t="shared" si="18"/>
        <v>3840.4495754552918</v>
      </c>
      <c r="M37">
        <f t="shared" si="19"/>
        <v>29.467060976092917</v>
      </c>
    </row>
  </sheetData>
  <mergeCells count="4">
    <mergeCell ref="C32:C37"/>
    <mergeCell ref="C29:C31"/>
    <mergeCell ref="AF14:AF16"/>
    <mergeCell ref="AF17:AF22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9AAC-7FC3-42EA-ACD4-F621DD169252}">
  <dimension ref="A3:S37"/>
  <sheetViews>
    <sheetView topLeftCell="A10" workbookViewId="0">
      <selection activeCell="M43" sqref="M43"/>
    </sheetView>
  </sheetViews>
  <sheetFormatPr defaultRowHeight="15" x14ac:dyDescent="0.25"/>
  <cols>
    <col min="1" max="1" width="4.28515625" customWidth="1"/>
    <col min="6" max="6" width="10.85546875" customWidth="1"/>
    <col min="11" max="11" width="11.140625" customWidth="1"/>
  </cols>
  <sheetData>
    <row r="3" spans="1:19" x14ac:dyDescent="0.25">
      <c r="A3" t="s">
        <v>116</v>
      </c>
    </row>
    <row r="4" spans="1:19" x14ac:dyDescent="0.25">
      <c r="A4" t="s">
        <v>31</v>
      </c>
    </row>
    <row r="5" spans="1:19" x14ac:dyDescent="0.25">
      <c r="A5" t="s">
        <v>191</v>
      </c>
    </row>
    <row r="6" spans="1:19" x14ac:dyDescent="0.25">
      <c r="A6" t="s">
        <v>141</v>
      </c>
    </row>
    <row r="7" spans="1:19" x14ac:dyDescent="0.25">
      <c r="A7" t="s">
        <v>192</v>
      </c>
    </row>
    <row r="8" spans="1:19" x14ac:dyDescent="0.25">
      <c r="A8" t="s">
        <v>193</v>
      </c>
    </row>
    <row r="9" spans="1:19" x14ac:dyDescent="0.25">
      <c r="A9" t="s">
        <v>125</v>
      </c>
      <c r="D9" t="s">
        <v>126</v>
      </c>
    </row>
    <row r="13" spans="1:19" x14ac:dyDescent="0.25">
      <c r="B13" t="s">
        <v>150</v>
      </c>
    </row>
    <row r="14" spans="1:19" x14ac:dyDescent="0.25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  <c r="L14" s="11">
        <v>11</v>
      </c>
      <c r="M14" s="11">
        <v>12</v>
      </c>
    </row>
    <row r="15" spans="1:19" x14ac:dyDescent="0.25">
      <c r="A15" s="11" t="s">
        <v>38</v>
      </c>
      <c r="B15" s="12">
        <v>0.161</v>
      </c>
      <c r="C15" s="13">
        <v>0.25</v>
      </c>
      <c r="D15" s="13">
        <v>0.249</v>
      </c>
      <c r="E15" s="42">
        <v>0.74572175289999998</v>
      </c>
      <c r="F15" s="42">
        <v>0.75957044110000005</v>
      </c>
      <c r="G15" s="42">
        <v>0.78377306489999998</v>
      </c>
      <c r="H15" s="42">
        <v>0.79753040509999995</v>
      </c>
      <c r="I15" s="34"/>
      <c r="J15" s="34"/>
      <c r="K15" s="34"/>
      <c r="L15" s="34"/>
      <c r="M15" s="14"/>
      <c r="O15" t="s">
        <v>154</v>
      </c>
      <c r="P15">
        <f>AVERAGE(C15:D15)</f>
        <v>0.2495</v>
      </c>
      <c r="Q15">
        <f>P15-$D$26</f>
        <v>0.248</v>
      </c>
      <c r="R15">
        <v>200</v>
      </c>
      <c r="S15">
        <f>LOG(R15)</f>
        <v>2.3010299956639813</v>
      </c>
    </row>
    <row r="16" spans="1:19" x14ac:dyDescent="0.25">
      <c r="A16" s="11" t="s">
        <v>40</v>
      </c>
      <c r="B16" s="15">
        <v>0.161</v>
      </c>
      <c r="C16" s="16">
        <v>0.36099999999999999</v>
      </c>
      <c r="D16" s="16">
        <v>0.35399999999999998</v>
      </c>
      <c r="E16" s="40">
        <v>0.73087657620000002</v>
      </c>
      <c r="F16" s="40">
        <v>0.74579091779999995</v>
      </c>
      <c r="G16" s="40">
        <v>0.80607932120000003</v>
      </c>
      <c r="H16" s="40">
        <v>0.82269279679999996</v>
      </c>
      <c r="M16" s="17"/>
      <c r="O16" t="s">
        <v>155</v>
      </c>
      <c r="P16">
        <f t="shared" ref="P16:P19" si="0">AVERAGE(C16:D16)</f>
        <v>0.35749999999999998</v>
      </c>
      <c r="Q16">
        <f t="shared" ref="Q16:Q19" si="1">P16-$D$26</f>
        <v>0.35599999999999998</v>
      </c>
      <c r="R16">
        <v>52</v>
      </c>
      <c r="S16">
        <f t="shared" ref="S16:S19" si="2">LOG(R16)</f>
        <v>1.7160033436347992</v>
      </c>
    </row>
    <row r="17" spans="1:19" x14ac:dyDescent="0.25">
      <c r="A17" s="11" t="s">
        <v>41</v>
      </c>
      <c r="B17" s="15">
        <v>0.35199999999999998</v>
      </c>
      <c r="C17" s="16">
        <v>0.56100000000000005</v>
      </c>
      <c r="D17" s="16">
        <v>0.57399999999999995</v>
      </c>
      <c r="E17" s="40">
        <v>0.73429045670000004</v>
      </c>
      <c r="F17" s="40">
        <v>0.74732870529999995</v>
      </c>
      <c r="G17" s="40">
        <v>0.76194039579999995</v>
      </c>
      <c r="H17" s="40">
        <v>0.77577987820000005</v>
      </c>
      <c r="M17" s="17"/>
      <c r="O17" t="s">
        <v>156</v>
      </c>
      <c r="P17">
        <f t="shared" si="0"/>
        <v>0.5675</v>
      </c>
      <c r="Q17">
        <f t="shared" si="1"/>
        <v>0.56600000000000006</v>
      </c>
      <c r="R17">
        <v>12.5</v>
      </c>
      <c r="S17">
        <f t="shared" si="2"/>
        <v>1.0969100130080565</v>
      </c>
    </row>
    <row r="18" spans="1:19" x14ac:dyDescent="0.25">
      <c r="A18" s="11" t="s">
        <v>42</v>
      </c>
      <c r="B18" s="15">
        <v>0.35299999999999998</v>
      </c>
      <c r="C18" s="16">
        <v>0.73099999999999998</v>
      </c>
      <c r="D18" s="16">
        <v>0.754</v>
      </c>
      <c r="E18" s="40">
        <v>0.73113474970000003</v>
      </c>
      <c r="F18" s="40">
        <v>0.74635287230000003</v>
      </c>
      <c r="G18" s="40">
        <v>0.76747460509999998</v>
      </c>
      <c r="H18" s="40">
        <v>0.78282254689999997</v>
      </c>
      <c r="M18" s="17"/>
      <c r="O18" t="s">
        <v>157</v>
      </c>
      <c r="P18">
        <f t="shared" si="0"/>
        <v>0.74249999999999994</v>
      </c>
      <c r="Q18">
        <f t="shared" si="1"/>
        <v>0.74099999999999988</v>
      </c>
      <c r="R18">
        <v>3.13</v>
      </c>
      <c r="S18">
        <f t="shared" si="2"/>
        <v>0.49554433754644844</v>
      </c>
    </row>
    <row r="19" spans="1:19" x14ac:dyDescent="0.25">
      <c r="A19" s="11" t="s">
        <v>43</v>
      </c>
      <c r="B19" s="15">
        <v>0.16300000000000001</v>
      </c>
      <c r="C19" s="16">
        <v>0.878</v>
      </c>
      <c r="D19" s="16">
        <v>0.82499999999999996</v>
      </c>
      <c r="E19" s="40">
        <v>0.7088376086</v>
      </c>
      <c r="F19" s="40">
        <v>0.72243469540000005</v>
      </c>
      <c r="M19" s="17"/>
      <c r="O19" t="s">
        <v>158</v>
      </c>
      <c r="P19">
        <f t="shared" si="0"/>
        <v>0.85149999999999992</v>
      </c>
      <c r="Q19">
        <f t="shared" si="1"/>
        <v>0.84999999999999987</v>
      </c>
      <c r="R19">
        <v>0.78</v>
      </c>
      <c r="S19">
        <f t="shared" si="2"/>
        <v>-0.10790539730951958</v>
      </c>
    </row>
    <row r="20" spans="1:19" x14ac:dyDescent="0.25">
      <c r="A20" s="11" t="s">
        <v>44</v>
      </c>
      <c r="B20" s="15">
        <v>0.16300000000000001</v>
      </c>
      <c r="C20" s="16"/>
      <c r="D20" s="16"/>
      <c r="M20" s="17"/>
    </row>
    <row r="21" spans="1:19" x14ac:dyDescent="0.25">
      <c r="A21" s="11" t="s">
        <v>45</v>
      </c>
      <c r="B21" s="15">
        <v>0.90600000000000003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9" x14ac:dyDescent="0.25">
      <c r="A22" s="11" t="s">
        <v>46</v>
      </c>
      <c r="B22" s="18">
        <v>0.91200000000000003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20"/>
    </row>
    <row r="24" spans="1:19" x14ac:dyDescent="0.25">
      <c r="B24" t="s">
        <v>173</v>
      </c>
      <c r="C24">
        <f>AVERAGE(B14:B15)</f>
        <v>0.58050000000000002</v>
      </c>
      <c r="D24">
        <f>C24-$C$25</f>
        <v>0.32400000000000001</v>
      </c>
    </row>
    <row r="25" spans="1:19" x14ac:dyDescent="0.25">
      <c r="B25" t="s">
        <v>151</v>
      </c>
      <c r="C25">
        <f>AVERAGE(B16:B17)</f>
        <v>0.25650000000000001</v>
      </c>
      <c r="D25">
        <f t="shared" ref="D25:D27" si="3">C25-$C$25</f>
        <v>0</v>
      </c>
    </row>
    <row r="26" spans="1:19" x14ac:dyDescent="0.25">
      <c r="B26" t="s">
        <v>152</v>
      </c>
      <c r="C26">
        <f>AVERAGE(B18:B19)</f>
        <v>0.25800000000000001</v>
      </c>
      <c r="D26">
        <f>C26-$C$25</f>
        <v>1.5000000000000013E-3</v>
      </c>
    </row>
    <row r="27" spans="1:19" x14ac:dyDescent="0.25">
      <c r="B27" t="s">
        <v>153</v>
      </c>
      <c r="C27">
        <f>AVERAGE(B20:B21)</f>
        <v>0.53449999999999998</v>
      </c>
      <c r="D27">
        <f t="shared" si="3"/>
        <v>0.27799999999999997</v>
      </c>
      <c r="E27" s="1"/>
      <c r="F27" s="1"/>
      <c r="H27" s="1" t="s">
        <v>159</v>
      </c>
      <c r="I27" s="1" t="s">
        <v>194</v>
      </c>
    </row>
    <row r="28" spans="1:19" x14ac:dyDescent="0.25">
      <c r="E28" s="1" t="s">
        <v>174</v>
      </c>
      <c r="F28" s="1" t="s">
        <v>175</v>
      </c>
      <c r="H28" s="1" t="s">
        <v>160</v>
      </c>
      <c r="I28" s="1" t="s">
        <v>170</v>
      </c>
      <c r="J28" s="1" t="s">
        <v>162</v>
      </c>
      <c r="K28" s="1" t="s">
        <v>6</v>
      </c>
      <c r="L28" s="1" t="s">
        <v>195</v>
      </c>
    </row>
    <row r="29" spans="1:19" x14ac:dyDescent="0.25">
      <c r="C29" s="159" t="s">
        <v>16</v>
      </c>
      <c r="D29" s="11">
        <v>1</v>
      </c>
      <c r="E29">
        <f>AVERAGE(E15:F15)</f>
        <v>0.75264609699999996</v>
      </c>
      <c r="F29">
        <f>E29-0.0015</f>
        <v>0.75114609700000001</v>
      </c>
      <c r="G29">
        <f>(-3.7569*F29)+3.1749</f>
        <v>0.3529192281807001</v>
      </c>
      <c r="H29">
        <f>10^G29</f>
        <v>2.2538199987406795</v>
      </c>
      <c r="I29">
        <v>0.33966666666666667</v>
      </c>
      <c r="J29">
        <f>H29/I29</f>
        <v>6.635387631228693</v>
      </c>
      <c r="K29">
        <f>AVERAGE(J29:J33)</f>
        <v>7.2176878630650902</v>
      </c>
      <c r="L29">
        <f>(J29/$K$29)*100</f>
        <v>91.93231623639214</v>
      </c>
    </row>
    <row r="30" spans="1:19" x14ac:dyDescent="0.25">
      <c r="C30" s="159"/>
      <c r="D30" s="11">
        <v>2</v>
      </c>
      <c r="E30">
        <f t="shared" ref="E30:E33" si="4">AVERAGE(E16:F16)</f>
        <v>0.73833374699999998</v>
      </c>
      <c r="F30">
        <f t="shared" ref="F30:F37" si="5">E30-0.0015</f>
        <v>0.73683374700000004</v>
      </c>
      <c r="G30">
        <f t="shared" ref="G30:G37" si="6">(-3.7569*F30)+3.1749</f>
        <v>0.40668929589570002</v>
      </c>
      <c r="H30">
        <f t="shared" ref="H30:H37" si="7">10^G30</f>
        <v>2.5508756954772123</v>
      </c>
      <c r="I30">
        <v>0.33633333333333337</v>
      </c>
      <c r="J30">
        <f t="shared" ref="J30:J37" si="8">H30/I30</f>
        <v>7.584367776443643</v>
      </c>
      <c r="L30">
        <f t="shared" ref="L30:L37" si="9">(J30/$K$29)*100</f>
        <v>105.08029607729306</v>
      </c>
    </row>
    <row r="31" spans="1:19" x14ac:dyDescent="0.25">
      <c r="C31" s="159"/>
      <c r="D31" s="11">
        <v>3</v>
      </c>
      <c r="E31">
        <f t="shared" si="4"/>
        <v>0.74080958099999994</v>
      </c>
      <c r="F31">
        <f t="shared" si="5"/>
        <v>0.73930958099999999</v>
      </c>
      <c r="G31">
        <f t="shared" si="6"/>
        <v>0.39738783514109999</v>
      </c>
      <c r="H31">
        <f t="shared" si="7"/>
        <v>2.4968234534480045</v>
      </c>
      <c r="I31">
        <v>0.33133333333333337</v>
      </c>
      <c r="J31">
        <f t="shared" si="8"/>
        <v>7.5356844671468943</v>
      </c>
      <c r="L31">
        <f t="shared" si="9"/>
        <v>104.40579601272427</v>
      </c>
    </row>
    <row r="32" spans="1:19" x14ac:dyDescent="0.25">
      <c r="C32" s="159"/>
      <c r="D32" s="11">
        <v>4</v>
      </c>
      <c r="E32">
        <f t="shared" si="4"/>
        <v>0.73874381099999997</v>
      </c>
      <c r="F32">
        <f t="shared" si="5"/>
        <v>0.73724381100000003</v>
      </c>
      <c r="G32">
        <f t="shared" si="6"/>
        <v>0.40514872645410005</v>
      </c>
      <c r="H32">
        <f t="shared" si="7"/>
        <v>2.5418430241746135</v>
      </c>
      <c r="I32">
        <v>0.37800000000000006</v>
      </c>
      <c r="J32">
        <f t="shared" si="8"/>
        <v>6.7244524449063841</v>
      </c>
      <c r="L32">
        <f t="shared" si="9"/>
        <v>93.166296083781504</v>
      </c>
    </row>
    <row r="33" spans="3:12" x14ac:dyDescent="0.25">
      <c r="C33" s="159"/>
      <c r="D33" s="11">
        <v>5</v>
      </c>
      <c r="E33">
        <f t="shared" si="4"/>
        <v>0.71563615200000008</v>
      </c>
      <c r="F33">
        <f t="shared" si="5"/>
        <v>0.71413615200000014</v>
      </c>
      <c r="G33">
        <f t="shared" si="6"/>
        <v>0.49196189055119977</v>
      </c>
      <c r="H33">
        <f t="shared" si="7"/>
        <v>3.1042871742047335</v>
      </c>
      <c r="I33">
        <v>0.40800000000000003</v>
      </c>
      <c r="J33">
        <f t="shared" si="8"/>
        <v>7.6085469955998368</v>
      </c>
      <c r="L33">
        <f t="shared" si="9"/>
        <v>105.41529558980905</v>
      </c>
    </row>
    <row r="34" spans="3:12" x14ac:dyDescent="0.25">
      <c r="C34" s="159" t="s">
        <v>196</v>
      </c>
      <c r="D34" s="11">
        <v>1</v>
      </c>
      <c r="E34">
        <f>AVERAGE(G15:H15)</f>
        <v>0.79065173499999997</v>
      </c>
      <c r="F34">
        <f t="shared" si="5"/>
        <v>0.78915173500000002</v>
      </c>
      <c r="G34">
        <f t="shared" si="6"/>
        <v>0.21013584677849995</v>
      </c>
      <c r="H34">
        <f t="shared" si="7"/>
        <v>1.6223174769075743</v>
      </c>
      <c r="I34">
        <v>0.32966666666666666</v>
      </c>
      <c r="J34">
        <f t="shared" si="8"/>
        <v>4.9210843586680717</v>
      </c>
      <c r="L34">
        <f t="shared" si="9"/>
        <v>68.180897429087011</v>
      </c>
    </row>
    <row r="35" spans="3:12" x14ac:dyDescent="0.25">
      <c r="C35" s="159"/>
      <c r="D35" s="11">
        <v>2</v>
      </c>
      <c r="E35">
        <f>AVERAGE(G16:H16)</f>
        <v>0.81438605900000005</v>
      </c>
      <c r="F35">
        <f t="shared" si="5"/>
        <v>0.81288605900000011</v>
      </c>
      <c r="G35">
        <f t="shared" si="6"/>
        <v>0.12096836494289986</v>
      </c>
      <c r="H35">
        <f t="shared" si="7"/>
        <v>1.3211993913323996</v>
      </c>
      <c r="I35">
        <v>0.33300000000000007</v>
      </c>
      <c r="J35">
        <f t="shared" si="8"/>
        <v>3.9675657397369348</v>
      </c>
      <c r="L35">
        <f t="shared" si="9"/>
        <v>54.970037704734622</v>
      </c>
    </row>
    <row r="36" spans="3:12" x14ac:dyDescent="0.25">
      <c r="C36" s="159"/>
      <c r="D36" s="11">
        <v>3</v>
      </c>
      <c r="E36">
        <f>AVERAGE(G17:H17)</f>
        <v>0.768860137</v>
      </c>
      <c r="F36">
        <f t="shared" si="5"/>
        <v>0.76736013700000005</v>
      </c>
      <c r="G36">
        <f t="shared" si="6"/>
        <v>0.29200470130470002</v>
      </c>
      <c r="H36">
        <f t="shared" si="7"/>
        <v>1.9588658784162505</v>
      </c>
      <c r="I36">
        <v>0.34633333333333338</v>
      </c>
      <c r="J36">
        <f t="shared" si="8"/>
        <v>5.6560131234347937</v>
      </c>
      <c r="L36">
        <f t="shared" si="9"/>
        <v>78.363226988218486</v>
      </c>
    </row>
    <row r="37" spans="3:12" x14ac:dyDescent="0.25">
      <c r="C37" s="159"/>
      <c r="D37" s="11">
        <v>4</v>
      </c>
      <c r="E37">
        <f>AVERAGE(G18:H18)</f>
        <v>0.77514857599999998</v>
      </c>
      <c r="F37">
        <f t="shared" si="5"/>
        <v>0.77364857600000003</v>
      </c>
      <c r="G37">
        <f t="shared" si="6"/>
        <v>0.26837966482559983</v>
      </c>
      <c r="H37">
        <f t="shared" si="7"/>
        <v>1.8551527088294371</v>
      </c>
      <c r="I37">
        <v>0.36966666666666675</v>
      </c>
      <c r="J37">
        <f t="shared" si="8"/>
        <v>5.0184473638307576</v>
      </c>
      <c r="L37">
        <f t="shared" si="9"/>
        <v>69.529847494674073</v>
      </c>
    </row>
  </sheetData>
  <mergeCells count="2">
    <mergeCell ref="C29:C33"/>
    <mergeCell ref="C34:C37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7B5DB-7980-4FA9-91AB-0A7D67AE3EF1}">
  <dimension ref="B3:U6"/>
  <sheetViews>
    <sheetView workbookViewId="0">
      <selection activeCell="J32" sqref="J32"/>
    </sheetView>
  </sheetViews>
  <sheetFormatPr defaultRowHeight="15" x14ac:dyDescent="0.25"/>
  <cols>
    <col min="2" max="2" width="16.85546875" customWidth="1"/>
    <col min="3" max="3" width="14.7109375" customWidth="1"/>
    <col min="4" max="5" width="9.140625" customWidth="1"/>
    <col min="6" max="6" width="13.85546875" customWidth="1"/>
    <col min="7" max="7" width="23.140625" customWidth="1"/>
    <col min="8" max="8" width="15.42578125" customWidth="1"/>
    <col min="9" max="9" width="23.42578125" customWidth="1"/>
    <col min="10" max="10" width="18.42578125" customWidth="1"/>
    <col min="11" max="11" width="17.85546875" customWidth="1"/>
    <col min="12" max="12" width="20.28515625" customWidth="1"/>
    <col min="13" max="13" width="15.28515625" customWidth="1"/>
    <col min="14" max="14" width="17" customWidth="1"/>
    <col min="15" max="15" width="10.5703125" customWidth="1"/>
    <col min="16" max="16" width="20.5703125" customWidth="1"/>
    <col min="17" max="17" width="13.85546875" customWidth="1"/>
    <col min="18" max="18" width="15.5703125" customWidth="1"/>
    <col min="22" max="22" width="16.85546875" customWidth="1"/>
    <col min="23" max="23" width="15" customWidth="1"/>
    <col min="25" max="25" width="10.140625" customWidth="1"/>
    <col min="26" max="26" width="12.42578125" customWidth="1"/>
    <col min="28" max="28" width="13.85546875" customWidth="1"/>
    <col min="29" max="29" width="11.85546875" customWidth="1"/>
  </cols>
  <sheetData>
    <row r="3" spans="2:21" x14ac:dyDescent="0.25">
      <c r="C3" s="162" t="s">
        <v>197</v>
      </c>
      <c r="D3" s="162"/>
      <c r="E3" s="162"/>
      <c r="F3" s="162"/>
      <c r="G3" s="162"/>
      <c r="H3" s="162" t="s">
        <v>198</v>
      </c>
      <c r="I3" s="162"/>
      <c r="J3" s="162"/>
      <c r="K3" s="162"/>
      <c r="L3" s="162"/>
      <c r="M3" s="162" t="s">
        <v>199</v>
      </c>
      <c r="N3" s="162"/>
      <c r="O3" s="162"/>
      <c r="P3" s="162"/>
      <c r="Q3" s="162" t="s">
        <v>200</v>
      </c>
      <c r="R3" s="162"/>
      <c r="S3" s="162"/>
      <c r="T3" s="162"/>
      <c r="U3" s="162"/>
    </row>
    <row r="4" spans="2:21" x14ac:dyDescent="0.25">
      <c r="B4" s="8" t="s">
        <v>16</v>
      </c>
      <c r="C4" s="6">
        <v>1.4937560000000001</v>
      </c>
      <c r="D4" s="6">
        <v>1.4312400000000001</v>
      </c>
      <c r="E4" s="6">
        <v>1.1306099999999999</v>
      </c>
      <c r="F4" s="6">
        <v>0.97110700000000005</v>
      </c>
      <c r="G4" s="6"/>
      <c r="H4" s="6">
        <v>0.82635999999999998</v>
      </c>
      <c r="I4" s="6">
        <v>1.506623</v>
      </c>
      <c r="J4" s="6">
        <v>2.197454</v>
      </c>
      <c r="K4" s="6">
        <v>1.7056249999999999</v>
      </c>
      <c r="L4" s="6">
        <v>1.5530740000000001</v>
      </c>
      <c r="M4" s="6">
        <v>1.7121120000000001</v>
      </c>
      <c r="N4" s="6">
        <v>0.65013900000000002</v>
      </c>
      <c r="O4" s="6">
        <v>1.8914949999999999</v>
      </c>
      <c r="P4" s="6">
        <v>1.5426230000000001</v>
      </c>
      <c r="Q4" s="6">
        <v>1.0666709999999999</v>
      </c>
      <c r="R4" s="6">
        <v>1.0766420000000001</v>
      </c>
      <c r="S4" s="6">
        <v>0.94532700000000003</v>
      </c>
      <c r="T4" s="6"/>
      <c r="U4" s="6"/>
    </row>
    <row r="5" spans="2:21" x14ac:dyDescent="0.25">
      <c r="B5" s="8" t="s">
        <v>11</v>
      </c>
      <c r="C5" s="6">
        <v>2.822479</v>
      </c>
      <c r="D5" s="6">
        <v>2.5357959999999999</v>
      </c>
      <c r="E5" s="6">
        <v>3.2960210000000001</v>
      </c>
      <c r="F5" s="6">
        <v>4.0617299999999998</v>
      </c>
      <c r="G5" s="6"/>
      <c r="H5" s="6">
        <v>2.6720268800000002</v>
      </c>
      <c r="I5" s="6">
        <v>3.9218995300000001</v>
      </c>
      <c r="J5" s="6">
        <v>2.5977204500000002</v>
      </c>
      <c r="K5" s="6">
        <v>4.2142857100000004</v>
      </c>
      <c r="L5" s="6">
        <v>2.55688278</v>
      </c>
      <c r="M5" s="6">
        <v>7.45747889</v>
      </c>
      <c r="N5" s="6">
        <v>5.2211999999999996</v>
      </c>
      <c r="O5" s="6">
        <v>6.1369898620000001</v>
      </c>
      <c r="P5" s="6"/>
      <c r="Q5" s="6">
        <v>1.929406312</v>
      </c>
      <c r="R5" s="6">
        <v>2.1286552369999998</v>
      </c>
      <c r="S5" s="6">
        <v>2.946299958</v>
      </c>
      <c r="T5" s="6"/>
      <c r="U5" s="6"/>
    </row>
    <row r="6" spans="2:21" x14ac:dyDescent="0.25">
      <c r="B6" s="8" t="s">
        <v>53</v>
      </c>
      <c r="C6" s="6">
        <v>2.2707639999999998</v>
      </c>
      <c r="D6" s="6">
        <v>2.5856020000000002</v>
      </c>
      <c r="E6" s="6">
        <v>2.2491219999999998</v>
      </c>
      <c r="F6" s="6">
        <v>2.43988</v>
      </c>
      <c r="G6" s="6">
        <v>2.3977780000000002</v>
      </c>
      <c r="H6" s="6">
        <v>1.34139206</v>
      </c>
      <c r="I6" s="6">
        <v>1.543658915</v>
      </c>
      <c r="J6" s="6">
        <v>1.4406407059999999</v>
      </c>
      <c r="K6" s="6">
        <v>1.5224599999999999</v>
      </c>
      <c r="L6" s="6">
        <v>1.554152</v>
      </c>
      <c r="M6" s="6">
        <v>1.2873870860000001</v>
      </c>
      <c r="N6" s="6">
        <v>0.80769640799999998</v>
      </c>
      <c r="O6" s="6">
        <v>1.9091296929999999</v>
      </c>
      <c r="P6" s="6">
        <v>1.6761491479999999</v>
      </c>
      <c r="Q6" s="6">
        <v>2.2681460320000002</v>
      </c>
      <c r="R6" s="6">
        <v>2.2066669000000001</v>
      </c>
      <c r="S6" s="6">
        <v>2.9191111109999999</v>
      </c>
      <c r="T6" s="6">
        <v>2.5447829999999998</v>
      </c>
      <c r="U6" s="6"/>
    </row>
  </sheetData>
  <mergeCells count="4">
    <mergeCell ref="C3:G3"/>
    <mergeCell ref="H3:L3"/>
    <mergeCell ref="M3:P3"/>
    <mergeCell ref="Q3:U3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2CDC9-DA8F-429C-9983-1287D1A6CEAB}">
  <dimension ref="B4:AR153"/>
  <sheetViews>
    <sheetView topLeftCell="A127" workbookViewId="0">
      <selection activeCell="M162" sqref="M162"/>
    </sheetView>
  </sheetViews>
  <sheetFormatPr defaultRowHeight="15" x14ac:dyDescent="0.25"/>
  <cols>
    <col min="4" max="4" width="14.7109375" customWidth="1"/>
    <col min="9" max="9" width="17" customWidth="1"/>
    <col min="10" max="10" width="12.42578125" customWidth="1"/>
    <col min="12" max="12" width="11.42578125" customWidth="1"/>
    <col min="19" max="19" width="15" customWidth="1"/>
    <col min="21" max="21" width="14.28515625" customWidth="1"/>
    <col min="29" max="29" width="14.7109375" customWidth="1"/>
    <col min="46" max="46" width="13.5703125" customWidth="1"/>
  </cols>
  <sheetData>
    <row r="4" spans="2:41" x14ac:dyDescent="0.25">
      <c r="B4" t="s">
        <v>116</v>
      </c>
      <c r="Y4" t="s">
        <v>116</v>
      </c>
    </row>
    <row r="5" spans="2:41" x14ac:dyDescent="0.25">
      <c r="B5" t="s">
        <v>31</v>
      </c>
      <c r="Y5" t="s">
        <v>31</v>
      </c>
    </row>
    <row r="6" spans="2:41" x14ac:dyDescent="0.25">
      <c r="B6" t="s">
        <v>139</v>
      </c>
      <c r="Y6" t="s">
        <v>140</v>
      </c>
    </row>
    <row r="7" spans="2:41" x14ac:dyDescent="0.25">
      <c r="B7" t="s">
        <v>141</v>
      </c>
      <c r="Y7" t="s">
        <v>120</v>
      </c>
    </row>
    <row r="8" spans="2:41" x14ac:dyDescent="0.25">
      <c r="B8" t="s">
        <v>142</v>
      </c>
      <c r="Y8" t="s">
        <v>142</v>
      </c>
    </row>
    <row r="9" spans="2:41" x14ac:dyDescent="0.25">
      <c r="B9" t="s">
        <v>143</v>
      </c>
      <c r="Y9" t="s">
        <v>144</v>
      </c>
    </row>
    <row r="10" spans="2:41" x14ac:dyDescent="0.25">
      <c r="B10" t="s">
        <v>125</v>
      </c>
      <c r="E10" t="s">
        <v>126</v>
      </c>
      <c r="Y10" t="s">
        <v>125</v>
      </c>
      <c r="AB10" t="s">
        <v>126</v>
      </c>
    </row>
    <row r="12" spans="2:41" x14ac:dyDescent="0.25">
      <c r="Q12" s="1" t="s">
        <v>145</v>
      </c>
      <c r="R12" s="1" t="s">
        <v>146</v>
      </c>
      <c r="S12" s="1" t="s">
        <v>147</v>
      </c>
      <c r="T12" s="1" t="s">
        <v>148</v>
      </c>
    </row>
    <row r="13" spans="2:41" x14ac:dyDescent="0.25">
      <c r="P13" t="s">
        <v>149</v>
      </c>
      <c r="Q13" s="24">
        <f>AVERAGE(C16:C17)</f>
        <v>0.159</v>
      </c>
    </row>
    <row r="14" spans="2:41" x14ac:dyDescent="0.25">
      <c r="C14" t="s">
        <v>150</v>
      </c>
      <c r="P14" s="24" t="s">
        <v>151</v>
      </c>
      <c r="Q14" s="24">
        <f>AVERAGE(C18:C19)-Q13</f>
        <v>0.19850000000000004</v>
      </c>
      <c r="R14">
        <f>Q14-$Q$15</f>
        <v>0.19650000000000004</v>
      </c>
      <c r="S14" s="24"/>
      <c r="T14" s="24"/>
      <c r="Z14" t="s">
        <v>128</v>
      </c>
    </row>
    <row r="15" spans="2:41" x14ac:dyDescent="0.25">
      <c r="C15" s="11">
        <v>1</v>
      </c>
      <c r="D15" s="11">
        <v>2</v>
      </c>
      <c r="E15" s="11">
        <v>3</v>
      </c>
      <c r="F15" s="11">
        <v>4</v>
      </c>
      <c r="G15" s="11">
        <v>5</v>
      </c>
      <c r="H15" s="11">
        <v>6</v>
      </c>
      <c r="I15" s="11">
        <v>7</v>
      </c>
      <c r="J15" s="11">
        <v>8</v>
      </c>
      <c r="K15" s="11">
        <v>9</v>
      </c>
      <c r="L15" s="11">
        <v>10</v>
      </c>
      <c r="M15" s="11">
        <v>11</v>
      </c>
      <c r="N15" s="11">
        <v>12</v>
      </c>
      <c r="P15" s="24" t="s">
        <v>152</v>
      </c>
      <c r="Q15" s="24">
        <f>AVERAGE(C20:C21)-Q13</f>
        <v>2.0000000000000018E-3</v>
      </c>
      <c r="R15">
        <f t="shared" ref="R15:R21" si="0">Q15-$Q$15</f>
        <v>0</v>
      </c>
      <c r="S15" s="24"/>
      <c r="T15" s="24"/>
      <c r="Z15" s="11">
        <v>1</v>
      </c>
      <c r="AA15" s="11">
        <v>2</v>
      </c>
      <c r="AB15" s="11">
        <v>3</v>
      </c>
      <c r="AC15" s="11">
        <v>4</v>
      </c>
      <c r="AD15" s="11">
        <v>5</v>
      </c>
      <c r="AE15" s="11">
        <v>6</v>
      </c>
      <c r="AF15" s="11">
        <v>7</v>
      </c>
      <c r="AG15" s="11">
        <v>8</v>
      </c>
      <c r="AH15" s="11">
        <v>9</v>
      </c>
      <c r="AI15" s="11">
        <v>10</v>
      </c>
      <c r="AJ15" s="11">
        <v>11</v>
      </c>
      <c r="AK15" s="11">
        <v>12</v>
      </c>
      <c r="AM15" s="1" t="s">
        <v>132</v>
      </c>
      <c r="AN15" s="1" t="s">
        <v>47</v>
      </c>
      <c r="AO15" s="1" t="s">
        <v>48</v>
      </c>
    </row>
    <row r="16" spans="2:41" x14ac:dyDescent="0.25">
      <c r="B16" s="11" t="s">
        <v>38</v>
      </c>
      <c r="C16" s="12">
        <v>0.159</v>
      </c>
      <c r="D16" s="13">
        <v>0.26100000000000001</v>
      </c>
      <c r="E16" s="13">
        <v>0.23</v>
      </c>
      <c r="F16" s="13">
        <v>0.749</v>
      </c>
      <c r="G16" s="13">
        <v>0.76300000000000001</v>
      </c>
      <c r="H16" s="13">
        <v>0.77100000000000002</v>
      </c>
      <c r="I16" s="13">
        <v>0.79500000000000004</v>
      </c>
      <c r="J16" s="13">
        <v>0.78400000000000003</v>
      </c>
      <c r="K16" s="13">
        <v>0.81</v>
      </c>
      <c r="L16" s="13">
        <v>0.77500000000000002</v>
      </c>
      <c r="M16" s="13">
        <v>0.79</v>
      </c>
      <c r="N16" s="14"/>
      <c r="P16" s="24" t="s">
        <v>153</v>
      </c>
      <c r="Q16" s="24">
        <f>AVERAGE(C22:C23)-Q13</f>
        <v>0.75849999999999995</v>
      </c>
      <c r="R16">
        <f t="shared" si="0"/>
        <v>0.75649999999999995</v>
      </c>
      <c r="S16" s="24"/>
      <c r="T16" s="24"/>
      <c r="Y16" s="11" t="s">
        <v>38</v>
      </c>
      <c r="Z16" s="12">
        <v>0.48799999999999999</v>
      </c>
      <c r="AA16" s="13">
        <v>0.48399999999999999</v>
      </c>
      <c r="AB16" s="13">
        <v>0.14299999999999999</v>
      </c>
      <c r="AC16" s="13">
        <v>0.14000000000000001</v>
      </c>
      <c r="AD16" s="13">
        <v>0.152</v>
      </c>
      <c r="AE16" s="13">
        <v>0.14699999999999999</v>
      </c>
      <c r="AF16" s="13">
        <v>0.14599999999999999</v>
      </c>
      <c r="AG16" s="13">
        <v>0.14799999999999999</v>
      </c>
      <c r="AH16" s="13">
        <v>0.16600000000000001</v>
      </c>
      <c r="AI16" s="13">
        <v>0.155</v>
      </c>
      <c r="AJ16" s="13"/>
      <c r="AK16" s="14"/>
      <c r="AM16">
        <v>2000</v>
      </c>
      <c r="AN16">
        <f>AVERAGE(Z16:AA16)</f>
        <v>0.48599999999999999</v>
      </c>
      <c r="AO16">
        <f>AN16-0.069</f>
        <v>0.41699999999999998</v>
      </c>
    </row>
    <row r="17" spans="2:41" x14ac:dyDescent="0.25">
      <c r="B17" s="11" t="s">
        <v>40</v>
      </c>
      <c r="C17" s="15">
        <v>0.159</v>
      </c>
      <c r="D17" s="16">
        <v>0.35</v>
      </c>
      <c r="E17" s="16">
        <v>0.39</v>
      </c>
      <c r="F17" s="16">
        <v>0.76</v>
      </c>
      <c r="G17" s="16">
        <v>0.78500000000000003</v>
      </c>
      <c r="H17" s="16">
        <v>0.78900000000000003</v>
      </c>
      <c r="I17" s="16">
        <v>0.747</v>
      </c>
      <c r="J17" s="16">
        <v>0.79200000000000004</v>
      </c>
      <c r="K17" s="16">
        <v>0.79300000000000004</v>
      </c>
      <c r="L17" s="16">
        <v>0.79</v>
      </c>
      <c r="M17" s="16">
        <v>0.79500000000000004</v>
      </c>
      <c r="N17" s="17"/>
      <c r="P17" s="24" t="s">
        <v>154</v>
      </c>
      <c r="Q17" s="24">
        <f>AVERAGE(D16:E16)</f>
        <v>0.2455</v>
      </c>
      <c r="R17">
        <f t="shared" si="0"/>
        <v>0.24349999999999999</v>
      </c>
      <c r="S17" s="24">
        <f>(R17/$R$16)*100</f>
        <v>32.187706543291476</v>
      </c>
      <c r="T17" s="24">
        <f>LOG(U17)</f>
        <v>2.3010299956639813</v>
      </c>
      <c r="U17">
        <v>200</v>
      </c>
      <c r="Y17" s="11" t="s">
        <v>40</v>
      </c>
      <c r="Z17" s="15">
        <v>0.312</v>
      </c>
      <c r="AA17" s="16">
        <v>0.30199999999999999</v>
      </c>
      <c r="AB17" s="16">
        <v>0.151</v>
      </c>
      <c r="AC17" s="16">
        <v>0.14399999999999999</v>
      </c>
      <c r="AD17" s="16">
        <v>0.14899999999999999</v>
      </c>
      <c r="AE17" s="16">
        <v>0.14699999999999999</v>
      </c>
      <c r="AF17" s="16">
        <v>0.154</v>
      </c>
      <c r="AG17" s="16">
        <v>0.14199999999999999</v>
      </c>
      <c r="AH17" s="16">
        <v>0.16</v>
      </c>
      <c r="AI17" s="16">
        <v>0.161</v>
      </c>
      <c r="AJ17" s="16"/>
      <c r="AK17" s="17"/>
      <c r="AM17">
        <f>AM16/2</f>
        <v>1000</v>
      </c>
      <c r="AN17">
        <f t="shared" ref="AN17:AN23" si="1">AVERAGE(Z17:AA17)</f>
        <v>0.307</v>
      </c>
      <c r="AO17">
        <f t="shared" ref="AO17:AO23" si="2">AN17-0.069</f>
        <v>0.23799999999999999</v>
      </c>
    </row>
    <row r="18" spans="2:41" x14ac:dyDescent="0.25">
      <c r="B18" s="11" t="s">
        <v>41</v>
      </c>
      <c r="C18" s="15">
        <v>0.33200000000000002</v>
      </c>
      <c r="D18" s="16">
        <v>0.54700000000000004</v>
      </c>
      <c r="E18" s="16">
        <v>0.58599999999999997</v>
      </c>
      <c r="F18" s="16">
        <v>0.80400000000000005</v>
      </c>
      <c r="G18" s="16">
        <v>0.77500000000000002</v>
      </c>
      <c r="H18" s="16">
        <v>0.77100000000000002</v>
      </c>
      <c r="I18" s="16">
        <v>0.79300000000000004</v>
      </c>
      <c r="J18" s="16">
        <v>0.76400000000000001</v>
      </c>
      <c r="K18" s="16">
        <v>0.76800000000000002</v>
      </c>
      <c r="L18" s="16">
        <v>0.77200000000000002</v>
      </c>
      <c r="M18" s="16">
        <v>0.77700000000000002</v>
      </c>
      <c r="N18" s="17"/>
      <c r="P18" s="24" t="s">
        <v>155</v>
      </c>
      <c r="Q18" s="24">
        <f t="shared" ref="Q18:Q21" si="3">AVERAGE(D17:E17)</f>
        <v>0.37</v>
      </c>
      <c r="R18">
        <f t="shared" si="0"/>
        <v>0.36799999999999999</v>
      </c>
      <c r="S18" s="24">
        <f t="shared" ref="S18:S21" si="4">(R18/$R$16)*100</f>
        <v>48.645076007931266</v>
      </c>
      <c r="T18" s="24">
        <f>LOG(U18)</f>
        <v>1.6989700043360187</v>
      </c>
      <c r="U18">
        <v>50</v>
      </c>
      <c r="Y18" s="11" t="s">
        <v>41</v>
      </c>
      <c r="Z18" s="15">
        <v>0.19</v>
      </c>
      <c r="AA18" s="16">
        <v>0.19500000000000001</v>
      </c>
      <c r="AB18" s="16">
        <v>0.15</v>
      </c>
      <c r="AC18" s="16">
        <v>0.14899999999999999</v>
      </c>
      <c r="AD18" s="16">
        <v>0.155</v>
      </c>
      <c r="AE18" s="16">
        <v>0.156</v>
      </c>
      <c r="AF18" s="16">
        <v>0.151</v>
      </c>
      <c r="AG18" s="16">
        <v>0.153</v>
      </c>
      <c r="AH18" s="16">
        <v>0.16600000000000001</v>
      </c>
      <c r="AI18" s="16">
        <v>0.16</v>
      </c>
      <c r="AJ18" s="16"/>
      <c r="AK18" s="17"/>
      <c r="AM18">
        <f t="shared" ref="AM18:AM22" si="5">AM17/2</f>
        <v>500</v>
      </c>
      <c r="AN18">
        <f t="shared" si="1"/>
        <v>0.1925</v>
      </c>
      <c r="AO18">
        <f t="shared" si="2"/>
        <v>0.1235</v>
      </c>
    </row>
    <row r="19" spans="2:41" x14ac:dyDescent="0.25">
      <c r="B19" s="11" t="s">
        <v>42</v>
      </c>
      <c r="C19" s="15">
        <v>0.38300000000000001</v>
      </c>
      <c r="D19" s="16">
        <v>0.72099999999999997</v>
      </c>
      <c r="E19" s="16">
        <v>0.71299999999999997</v>
      </c>
      <c r="F19" s="16">
        <v>0.76</v>
      </c>
      <c r="G19" s="16">
        <v>0.74</v>
      </c>
      <c r="H19" s="16">
        <v>0.77500000000000002</v>
      </c>
      <c r="I19" s="16">
        <v>0.76300000000000001</v>
      </c>
      <c r="J19" s="16">
        <v>0.77600000000000002</v>
      </c>
      <c r="K19" s="16">
        <v>0.78800000000000003</v>
      </c>
      <c r="L19" s="16">
        <v>0.75900000000000001</v>
      </c>
      <c r="M19" s="16">
        <v>0.77400000000000002</v>
      </c>
      <c r="N19" s="17"/>
      <c r="P19" s="24" t="s">
        <v>156</v>
      </c>
      <c r="Q19" s="24">
        <f t="shared" si="3"/>
        <v>0.5665</v>
      </c>
      <c r="R19">
        <f t="shared" si="0"/>
        <v>0.5645</v>
      </c>
      <c r="S19" s="24">
        <f t="shared" si="4"/>
        <v>74.619960343688035</v>
      </c>
      <c r="T19" s="24">
        <f t="shared" ref="T19:T21" si="6">LOG(U19)</f>
        <v>1.0969100130080565</v>
      </c>
      <c r="U19">
        <v>12.5</v>
      </c>
      <c r="Y19" s="11" t="s">
        <v>42</v>
      </c>
      <c r="Z19" s="15">
        <v>0.13700000000000001</v>
      </c>
      <c r="AA19" s="16">
        <v>0.13900000000000001</v>
      </c>
      <c r="AB19" s="16">
        <v>0.159</v>
      </c>
      <c r="AC19" s="16">
        <v>0.16300000000000001</v>
      </c>
      <c r="AD19" s="16">
        <v>0.153</v>
      </c>
      <c r="AE19" s="16">
        <v>0.19800000000000001</v>
      </c>
      <c r="AF19" s="16">
        <v>0.157</v>
      </c>
      <c r="AG19" s="16">
        <v>0.16800000000000001</v>
      </c>
      <c r="AH19" s="16">
        <v>0.161</v>
      </c>
      <c r="AI19" s="16">
        <v>0.16300000000000001</v>
      </c>
      <c r="AJ19" s="16"/>
      <c r="AK19" s="17"/>
      <c r="AM19">
        <f t="shared" si="5"/>
        <v>250</v>
      </c>
      <c r="AN19">
        <f t="shared" si="1"/>
        <v>0.13800000000000001</v>
      </c>
      <c r="AO19">
        <f t="shared" si="2"/>
        <v>6.9000000000000006E-2</v>
      </c>
    </row>
    <row r="20" spans="2:41" x14ac:dyDescent="0.25">
      <c r="B20" s="11" t="s">
        <v>43</v>
      </c>
      <c r="C20" s="15">
        <v>0.16400000000000001</v>
      </c>
      <c r="D20" s="16">
        <v>0.78</v>
      </c>
      <c r="E20" s="16">
        <v>0.79600000000000004</v>
      </c>
      <c r="F20" s="16">
        <v>0.79100000000000004</v>
      </c>
      <c r="G20" s="16">
        <v>0.76700000000000002</v>
      </c>
      <c r="H20" s="16">
        <v>0.77700000000000002</v>
      </c>
      <c r="I20" s="16">
        <v>0.748</v>
      </c>
      <c r="J20" s="16">
        <v>0.84199999999999997</v>
      </c>
      <c r="K20" s="16">
        <v>0.79300000000000004</v>
      </c>
      <c r="L20" s="16">
        <v>0.77</v>
      </c>
      <c r="M20" s="16">
        <v>0.79900000000000004</v>
      </c>
      <c r="N20" s="17"/>
      <c r="P20" s="24" t="s">
        <v>157</v>
      </c>
      <c r="Q20" s="24">
        <f t="shared" si="3"/>
        <v>0.71699999999999997</v>
      </c>
      <c r="R20">
        <f t="shared" si="0"/>
        <v>0.71499999999999997</v>
      </c>
      <c r="S20" s="24">
        <f t="shared" si="4"/>
        <v>94.514210178453411</v>
      </c>
      <c r="T20" s="24">
        <f t="shared" si="6"/>
        <v>0.49485002168009401</v>
      </c>
      <c r="U20">
        <v>3.125</v>
      </c>
      <c r="Y20" s="11" t="s">
        <v>43</v>
      </c>
      <c r="Z20" s="15">
        <v>0.106</v>
      </c>
      <c r="AA20" s="16">
        <v>0.106</v>
      </c>
      <c r="AB20" s="16">
        <v>0.155</v>
      </c>
      <c r="AC20" s="16">
        <v>0.15</v>
      </c>
      <c r="AD20" s="16">
        <v>0.152</v>
      </c>
      <c r="AE20" s="16">
        <v>0.14699999999999999</v>
      </c>
      <c r="AF20" s="16">
        <v>0.151</v>
      </c>
      <c r="AG20" s="16">
        <v>0.14399999999999999</v>
      </c>
      <c r="AH20" s="16">
        <v>0.159</v>
      </c>
      <c r="AI20" s="16">
        <v>0.159</v>
      </c>
      <c r="AJ20" s="16"/>
      <c r="AK20" s="17"/>
      <c r="AM20">
        <f t="shared" si="5"/>
        <v>125</v>
      </c>
      <c r="AN20">
        <f t="shared" si="1"/>
        <v>0.106</v>
      </c>
      <c r="AO20">
        <f t="shared" si="2"/>
        <v>3.6999999999999991E-2</v>
      </c>
    </row>
    <row r="21" spans="2:41" x14ac:dyDescent="0.25">
      <c r="B21" s="11" t="s">
        <v>44</v>
      </c>
      <c r="C21" s="15">
        <v>0.158</v>
      </c>
      <c r="D21" s="16"/>
      <c r="E21" s="16"/>
      <c r="F21" s="16">
        <v>0.76900000000000002</v>
      </c>
      <c r="G21" s="16">
        <v>0.76100000000000001</v>
      </c>
      <c r="H21" s="16">
        <v>0.77700000000000002</v>
      </c>
      <c r="I21" s="16">
        <v>0.75600000000000001</v>
      </c>
      <c r="J21" s="16">
        <v>0.80700000000000005</v>
      </c>
      <c r="K21" s="16">
        <v>0.75700000000000001</v>
      </c>
      <c r="L21" s="16">
        <v>0.76500000000000001</v>
      </c>
      <c r="M21" s="16">
        <v>0.80200000000000005</v>
      </c>
      <c r="N21" s="17"/>
      <c r="P21" s="24" t="s">
        <v>158</v>
      </c>
      <c r="Q21" s="24">
        <f t="shared" si="3"/>
        <v>0.78800000000000003</v>
      </c>
      <c r="R21">
        <f t="shared" si="0"/>
        <v>0.78600000000000003</v>
      </c>
      <c r="S21" s="24">
        <f t="shared" si="4"/>
        <v>103.89953734302711</v>
      </c>
      <c r="T21" s="24">
        <f t="shared" si="6"/>
        <v>-0.10734896612269966</v>
      </c>
      <c r="U21">
        <v>0.78100000000000003</v>
      </c>
      <c r="Y21" s="11" t="s">
        <v>44</v>
      </c>
      <c r="Z21" s="15">
        <v>8.8999999999999996E-2</v>
      </c>
      <c r="AA21" s="16">
        <v>8.7999999999999995E-2</v>
      </c>
      <c r="AB21" s="16">
        <v>0.14899999999999999</v>
      </c>
      <c r="AC21" s="16">
        <v>0.151</v>
      </c>
      <c r="AD21" s="16">
        <v>0.14899999999999999</v>
      </c>
      <c r="AE21" s="16">
        <v>0.154</v>
      </c>
      <c r="AF21" s="16">
        <v>0.16</v>
      </c>
      <c r="AG21" s="16">
        <v>0.155</v>
      </c>
      <c r="AH21" s="16">
        <v>0.16800000000000001</v>
      </c>
      <c r="AI21" s="16">
        <v>0.17499999999999999</v>
      </c>
      <c r="AJ21" s="16"/>
      <c r="AK21" s="17"/>
      <c r="AM21">
        <f t="shared" si="5"/>
        <v>62.5</v>
      </c>
      <c r="AN21">
        <f t="shared" si="1"/>
        <v>8.8499999999999995E-2</v>
      </c>
      <c r="AO21">
        <f t="shared" si="2"/>
        <v>1.949999999999999E-2</v>
      </c>
    </row>
    <row r="22" spans="2:41" x14ac:dyDescent="0.25">
      <c r="B22" s="11" t="s">
        <v>45</v>
      </c>
      <c r="C22" s="15">
        <v>0.93600000000000005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Y22" s="11" t="s">
        <v>45</v>
      </c>
      <c r="Z22" s="15">
        <v>7.9000000000000001E-2</v>
      </c>
      <c r="AA22" s="16">
        <v>7.9000000000000001E-2</v>
      </c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M22">
        <f t="shared" si="5"/>
        <v>31.25</v>
      </c>
      <c r="AN22">
        <f t="shared" si="1"/>
        <v>7.9000000000000001E-2</v>
      </c>
      <c r="AO22">
        <f t="shared" si="2"/>
        <v>9.999999999999995E-3</v>
      </c>
    </row>
    <row r="23" spans="2:41" x14ac:dyDescent="0.25">
      <c r="B23" s="11" t="s">
        <v>46</v>
      </c>
      <c r="C23" s="18">
        <v>0.89900000000000002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Y23" s="11" t="s">
        <v>46</v>
      </c>
      <c r="Z23" s="18">
        <v>6.9000000000000006E-2</v>
      </c>
      <c r="AA23" s="19">
        <v>6.9000000000000006E-2</v>
      </c>
      <c r="AB23" s="19"/>
      <c r="AC23" s="19"/>
      <c r="AD23" s="19"/>
      <c r="AE23" s="19"/>
      <c r="AF23" s="19"/>
      <c r="AG23" s="19"/>
      <c r="AH23" s="19"/>
      <c r="AI23" s="19"/>
      <c r="AJ23" s="19"/>
      <c r="AK23" s="20"/>
      <c r="AM23">
        <v>0</v>
      </c>
      <c r="AN23">
        <f t="shared" si="1"/>
        <v>6.9000000000000006E-2</v>
      </c>
      <c r="AO23">
        <f t="shared" si="2"/>
        <v>0</v>
      </c>
    </row>
    <row r="24" spans="2:41" x14ac:dyDescent="0.25">
      <c r="H24" s="1" t="s">
        <v>159</v>
      </c>
    </row>
    <row r="25" spans="2:41" x14ac:dyDescent="0.25">
      <c r="C25" s="11" t="s">
        <v>129</v>
      </c>
      <c r="E25" s="1" t="s">
        <v>47</v>
      </c>
      <c r="F25" s="1" t="s">
        <v>48</v>
      </c>
      <c r="G25" s="1" t="s">
        <v>159</v>
      </c>
      <c r="H25" s="1" t="s">
        <v>160</v>
      </c>
      <c r="I25" s="1" t="s">
        <v>161</v>
      </c>
      <c r="J25" s="1" t="s">
        <v>162</v>
      </c>
      <c r="L25" s="1" t="s">
        <v>163</v>
      </c>
      <c r="N25" s="1" t="s">
        <v>6</v>
      </c>
      <c r="Z25" s="11" t="s">
        <v>129</v>
      </c>
      <c r="AA25" s="1" t="s">
        <v>47</v>
      </c>
      <c r="AB25" s="1" t="s">
        <v>48</v>
      </c>
      <c r="AC25" s="1" t="s">
        <v>164</v>
      </c>
      <c r="AD25" s="1" t="s">
        <v>165</v>
      </c>
    </row>
    <row r="26" spans="2:41" x14ac:dyDescent="0.25">
      <c r="C26" s="11">
        <v>0</v>
      </c>
      <c r="D26" s="11">
        <v>1</v>
      </c>
      <c r="E26">
        <f>AVERAGE(G16)</f>
        <v>0.76300000000000001</v>
      </c>
      <c r="F26">
        <f>E26-$Q$15</f>
        <v>0.76100000000000001</v>
      </c>
      <c r="G26">
        <f>(-3.7124*F26)+3.153</f>
        <v>0.3278635999999997</v>
      </c>
      <c r="H26">
        <f>10^G26</f>
        <v>2.1274707607556871</v>
      </c>
      <c r="I26" s="3">
        <v>0.31</v>
      </c>
      <c r="J26">
        <f>H26/I26</f>
        <v>6.8628089056635071</v>
      </c>
      <c r="L26">
        <f>(J26/$N$26)*100</f>
        <v>113.84650897199788</v>
      </c>
      <c r="N26">
        <f>AVERAGE(J26:J31)</f>
        <v>6.0281241538565835</v>
      </c>
      <c r="Z26" s="11">
        <v>0</v>
      </c>
      <c r="AA26">
        <f>AVERAGE(AB16:AC16)</f>
        <v>0.14150000000000001</v>
      </c>
      <c r="AB26">
        <f>AA26-0.069</f>
        <v>7.2500000000000009E-2</v>
      </c>
      <c r="AC26">
        <f>(AB26-0.0105)/0.0002</f>
        <v>310</v>
      </c>
      <c r="AD26">
        <f>AC26/1000</f>
        <v>0.31</v>
      </c>
    </row>
    <row r="27" spans="2:41" x14ac:dyDescent="0.25">
      <c r="C27" s="11">
        <v>0</v>
      </c>
      <c r="D27" s="11">
        <v>2</v>
      </c>
      <c r="E27">
        <f>AVERAGE(F17)</f>
        <v>0.76</v>
      </c>
      <c r="F27">
        <f t="shared" ref="F27:F49" si="7">E27-$Q$15</f>
        <v>0.75800000000000001</v>
      </c>
      <c r="G27">
        <f t="shared" ref="G27:G49" si="8">(-3.7124*F27)+3.153</f>
        <v>0.33900079999999999</v>
      </c>
      <c r="H27">
        <f t="shared" ref="H27:H49" si="9">10^G27</f>
        <v>2.1827339325837904</v>
      </c>
      <c r="I27" s="3">
        <v>0.33999999999999997</v>
      </c>
      <c r="J27">
        <f t="shared" ref="J27:J49" si="10">H27/I27</f>
        <v>6.4198056840699724</v>
      </c>
      <c r="L27">
        <f t="shared" ref="L27:L48" si="11">(J27/$N$26)*100</f>
        <v>106.49756906487741</v>
      </c>
      <c r="Z27" s="11">
        <v>0</v>
      </c>
      <c r="AA27">
        <f t="shared" ref="AA27:AA31" si="12">AVERAGE(AB17:AC17)</f>
        <v>0.14749999999999999</v>
      </c>
      <c r="AB27">
        <f t="shared" ref="AB27:AB49" si="13">AA27-0.069</f>
        <v>7.8499999999999986E-2</v>
      </c>
      <c r="AC27">
        <f t="shared" ref="AC27:AC49" si="14">(AB27-0.0105)/0.0002</f>
        <v>339.99999999999994</v>
      </c>
      <c r="AD27">
        <f t="shared" ref="AD27:AD49" si="15">AC27/1000</f>
        <v>0.33999999999999997</v>
      </c>
    </row>
    <row r="28" spans="2:41" x14ac:dyDescent="0.25">
      <c r="C28" s="11">
        <v>0</v>
      </c>
      <c r="D28" s="11">
        <v>3</v>
      </c>
      <c r="E28">
        <f>AVERAGE(G18)</f>
        <v>0.77500000000000002</v>
      </c>
      <c r="F28">
        <f t="shared" si="7"/>
        <v>0.77300000000000002</v>
      </c>
      <c r="G28">
        <f t="shared" si="8"/>
        <v>0.28331479999999987</v>
      </c>
      <c r="H28">
        <f t="shared" si="9"/>
        <v>1.9200599991420597</v>
      </c>
      <c r="I28" s="3">
        <v>0.34999999999999992</v>
      </c>
      <c r="J28">
        <f t="shared" si="10"/>
        <v>5.4858857118344577</v>
      </c>
      <c r="L28">
        <f t="shared" si="11"/>
        <v>91.004856101458685</v>
      </c>
      <c r="Z28" s="11">
        <v>0</v>
      </c>
      <c r="AA28">
        <f t="shared" si="12"/>
        <v>0.14949999999999999</v>
      </c>
      <c r="AB28">
        <f t="shared" si="13"/>
        <v>8.0499999999999988E-2</v>
      </c>
      <c r="AC28">
        <f t="shared" si="14"/>
        <v>349.99999999999994</v>
      </c>
      <c r="AD28">
        <f t="shared" si="15"/>
        <v>0.34999999999999992</v>
      </c>
    </row>
    <row r="29" spans="2:41" x14ac:dyDescent="0.25">
      <c r="C29" s="11">
        <v>0</v>
      </c>
      <c r="D29" s="11">
        <v>4</v>
      </c>
      <c r="E29">
        <f t="shared" ref="E29" si="16">AVERAGE(F19:G19)</f>
        <v>0.75</v>
      </c>
      <c r="F29">
        <f t="shared" si="7"/>
        <v>0.748</v>
      </c>
      <c r="G29">
        <f t="shared" si="8"/>
        <v>0.37612479999999993</v>
      </c>
      <c r="H29">
        <f t="shared" si="9"/>
        <v>2.3775233998219232</v>
      </c>
      <c r="I29" s="3">
        <v>0.40749999999999997</v>
      </c>
      <c r="J29">
        <f t="shared" si="10"/>
        <v>5.8344132510967448</v>
      </c>
      <c r="L29">
        <f t="shared" si="11"/>
        <v>96.786547559145589</v>
      </c>
      <c r="Z29" s="11">
        <v>0</v>
      </c>
      <c r="AA29">
        <f t="shared" si="12"/>
        <v>0.161</v>
      </c>
      <c r="AB29">
        <f t="shared" si="13"/>
        <v>9.1999999999999998E-2</v>
      </c>
      <c r="AC29">
        <f t="shared" si="14"/>
        <v>407.5</v>
      </c>
      <c r="AD29">
        <f t="shared" si="15"/>
        <v>0.40749999999999997</v>
      </c>
    </row>
    <row r="30" spans="2:41" x14ac:dyDescent="0.25">
      <c r="C30" s="11">
        <v>0</v>
      </c>
      <c r="D30" s="11">
        <v>5</v>
      </c>
      <c r="E30">
        <f>AVERAGE(G20)</f>
        <v>0.76700000000000002</v>
      </c>
      <c r="F30">
        <f t="shared" si="7"/>
        <v>0.76500000000000001</v>
      </c>
      <c r="G30">
        <f t="shared" si="8"/>
        <v>0.3130139999999999</v>
      </c>
      <c r="H30">
        <f t="shared" si="9"/>
        <v>2.0559568711349128</v>
      </c>
      <c r="I30" s="3">
        <v>0.36499999999999994</v>
      </c>
      <c r="J30">
        <f t="shared" si="10"/>
        <v>5.6327585510545566</v>
      </c>
      <c r="L30">
        <f t="shared" si="11"/>
        <v>93.44131619205146</v>
      </c>
      <c r="Z30" s="11">
        <v>0</v>
      </c>
      <c r="AA30">
        <f t="shared" si="12"/>
        <v>0.1525</v>
      </c>
      <c r="AB30">
        <f t="shared" si="13"/>
        <v>8.3499999999999991E-2</v>
      </c>
      <c r="AC30">
        <f t="shared" si="14"/>
        <v>364.99999999999994</v>
      </c>
      <c r="AD30">
        <f t="shared" si="15"/>
        <v>0.36499999999999994</v>
      </c>
    </row>
    <row r="31" spans="2:41" x14ac:dyDescent="0.25">
      <c r="C31" s="11">
        <v>0</v>
      </c>
      <c r="D31" s="11">
        <v>6</v>
      </c>
      <c r="E31">
        <f>AVERAGE(F21:G21)</f>
        <v>0.76500000000000001</v>
      </c>
      <c r="F31">
        <f t="shared" si="7"/>
        <v>0.76300000000000001</v>
      </c>
      <c r="G31">
        <f t="shared" si="8"/>
        <v>0.3204387999999998</v>
      </c>
      <c r="H31">
        <f t="shared" si="9"/>
        <v>2.0914081688456405</v>
      </c>
      <c r="I31" s="3">
        <v>0.35249999999999992</v>
      </c>
      <c r="J31">
        <f t="shared" si="10"/>
        <v>5.933072819420258</v>
      </c>
      <c r="L31">
        <f t="shared" si="11"/>
        <v>98.423202110468893</v>
      </c>
      <c r="Z31" s="11">
        <v>0</v>
      </c>
      <c r="AA31">
        <f t="shared" si="12"/>
        <v>0.15</v>
      </c>
      <c r="AB31">
        <f t="shared" si="13"/>
        <v>8.0999999999999989E-2</v>
      </c>
      <c r="AC31">
        <f t="shared" si="14"/>
        <v>352.49999999999994</v>
      </c>
      <c r="AD31">
        <f t="shared" si="15"/>
        <v>0.35249999999999992</v>
      </c>
    </row>
    <row r="32" spans="2:41" x14ac:dyDescent="0.25">
      <c r="C32" s="11">
        <v>10</v>
      </c>
      <c r="D32" s="11">
        <v>1</v>
      </c>
      <c r="E32">
        <f>AVERAGE(H16:I16)</f>
        <v>0.78300000000000003</v>
      </c>
      <c r="F32">
        <f t="shared" si="7"/>
        <v>0.78100000000000003</v>
      </c>
      <c r="G32">
        <f t="shared" si="8"/>
        <v>0.25361559999999983</v>
      </c>
      <c r="H32">
        <f t="shared" si="9"/>
        <v>1.7931457863074445</v>
      </c>
      <c r="I32" s="3">
        <v>0.34999999999999992</v>
      </c>
      <c r="J32">
        <f t="shared" si="10"/>
        <v>5.1232736751641283</v>
      </c>
      <c r="L32">
        <f t="shared" si="11"/>
        <v>84.989518205036248</v>
      </c>
      <c r="Z32" s="11">
        <v>10</v>
      </c>
      <c r="AA32">
        <f>AVERAGE(AD16:AE16)</f>
        <v>0.14949999999999999</v>
      </c>
      <c r="AB32">
        <f t="shared" si="13"/>
        <v>8.0499999999999988E-2</v>
      </c>
      <c r="AC32">
        <f t="shared" si="14"/>
        <v>349.99999999999994</v>
      </c>
      <c r="AD32">
        <f t="shared" si="15"/>
        <v>0.34999999999999992</v>
      </c>
    </row>
    <row r="33" spans="3:30" x14ac:dyDescent="0.25">
      <c r="C33" s="11">
        <v>10</v>
      </c>
      <c r="D33" s="11">
        <v>2</v>
      </c>
      <c r="E33">
        <f t="shared" ref="E33:E35" si="17">AVERAGE(H17:I17)</f>
        <v>0.76800000000000002</v>
      </c>
      <c r="F33">
        <f t="shared" si="7"/>
        <v>0.76600000000000001</v>
      </c>
      <c r="G33">
        <f t="shared" si="8"/>
        <v>0.30930159999999995</v>
      </c>
      <c r="H33">
        <f t="shared" si="9"/>
        <v>2.0384572125828235</v>
      </c>
      <c r="I33" s="3">
        <v>0.34249999999999992</v>
      </c>
      <c r="J33">
        <f t="shared" si="10"/>
        <v>5.9516998907527707</v>
      </c>
      <c r="L33">
        <f t="shared" si="11"/>
        <v>98.732204892380665</v>
      </c>
      <c r="Z33" s="11">
        <v>10</v>
      </c>
      <c r="AA33">
        <f t="shared" ref="AA33:AA37" si="18">AVERAGE(AD17:AE17)</f>
        <v>0.14799999999999999</v>
      </c>
      <c r="AB33">
        <f t="shared" si="13"/>
        <v>7.8999999999999987E-2</v>
      </c>
      <c r="AC33">
        <f t="shared" si="14"/>
        <v>342.49999999999994</v>
      </c>
      <c r="AD33">
        <f t="shared" si="15"/>
        <v>0.34249999999999992</v>
      </c>
    </row>
    <row r="34" spans="3:30" x14ac:dyDescent="0.25">
      <c r="C34" s="11">
        <v>10</v>
      </c>
      <c r="D34" s="11">
        <v>3</v>
      </c>
      <c r="E34">
        <f t="shared" si="17"/>
        <v>0.78200000000000003</v>
      </c>
      <c r="F34">
        <f t="shared" si="7"/>
        <v>0.78</v>
      </c>
      <c r="G34">
        <f t="shared" si="8"/>
        <v>0.25732799999999978</v>
      </c>
      <c r="H34">
        <f t="shared" si="9"/>
        <v>1.8085395060288112</v>
      </c>
      <c r="I34" s="3">
        <v>0.38</v>
      </c>
      <c r="J34">
        <f t="shared" si="10"/>
        <v>4.759314489549503</v>
      </c>
      <c r="L34">
        <f t="shared" si="11"/>
        <v>78.95183257804436</v>
      </c>
      <c r="Z34" s="11">
        <v>10</v>
      </c>
      <c r="AA34">
        <f t="shared" si="18"/>
        <v>0.1555</v>
      </c>
      <c r="AB34">
        <f t="shared" si="13"/>
        <v>8.6499999999999994E-2</v>
      </c>
      <c r="AC34">
        <f t="shared" si="14"/>
        <v>380</v>
      </c>
      <c r="AD34">
        <f t="shared" si="15"/>
        <v>0.38</v>
      </c>
    </row>
    <row r="35" spans="3:30" x14ac:dyDescent="0.25">
      <c r="C35" s="11">
        <v>10</v>
      </c>
      <c r="D35" s="11">
        <v>4</v>
      </c>
      <c r="E35">
        <f t="shared" si="17"/>
        <v>0.76900000000000002</v>
      </c>
      <c r="F35">
        <f t="shared" si="7"/>
        <v>0.76700000000000002</v>
      </c>
      <c r="G35">
        <f t="shared" si="8"/>
        <v>0.30558920000000001</v>
      </c>
      <c r="H35">
        <f t="shared" si="9"/>
        <v>2.0211065056229289</v>
      </c>
      <c r="I35" s="3">
        <v>0.47999999999999993</v>
      </c>
      <c r="J35">
        <f t="shared" si="10"/>
        <v>4.2106385533811022</v>
      </c>
      <c r="L35">
        <f t="shared" si="11"/>
        <v>69.849897678157177</v>
      </c>
      <c r="Z35" s="11">
        <v>10</v>
      </c>
      <c r="AA35">
        <f t="shared" si="18"/>
        <v>0.17549999999999999</v>
      </c>
      <c r="AB35">
        <f t="shared" si="13"/>
        <v>0.10649999999999998</v>
      </c>
      <c r="AC35">
        <f t="shared" si="14"/>
        <v>479.99999999999994</v>
      </c>
      <c r="AD35">
        <f t="shared" si="15"/>
        <v>0.47999999999999993</v>
      </c>
    </row>
    <row r="36" spans="3:30" x14ac:dyDescent="0.25">
      <c r="C36" s="11">
        <v>10</v>
      </c>
      <c r="D36" s="11">
        <v>5</v>
      </c>
      <c r="E36">
        <f>AVERAGE(H20)</f>
        <v>0.77700000000000002</v>
      </c>
      <c r="F36">
        <f t="shared" si="7"/>
        <v>0.77500000000000002</v>
      </c>
      <c r="G36">
        <f t="shared" si="8"/>
        <v>0.27588999999999997</v>
      </c>
      <c r="H36">
        <f t="shared" si="9"/>
        <v>1.8875132109703299</v>
      </c>
      <c r="I36" s="3">
        <v>0.34999999999999992</v>
      </c>
      <c r="J36">
        <f t="shared" si="10"/>
        <v>5.3928948884866577</v>
      </c>
      <c r="L36">
        <f t="shared" si="11"/>
        <v>89.462239841833252</v>
      </c>
      <c r="Z36" s="11">
        <v>10</v>
      </c>
      <c r="AA36">
        <f t="shared" si="18"/>
        <v>0.14949999999999999</v>
      </c>
      <c r="AB36">
        <f t="shared" si="13"/>
        <v>8.0499999999999988E-2</v>
      </c>
      <c r="AC36">
        <f t="shared" si="14"/>
        <v>349.99999999999994</v>
      </c>
      <c r="AD36">
        <f t="shared" si="15"/>
        <v>0.34999999999999992</v>
      </c>
    </row>
    <row r="37" spans="3:30" x14ac:dyDescent="0.25">
      <c r="C37" s="11">
        <v>10</v>
      </c>
      <c r="D37" s="11">
        <v>6</v>
      </c>
      <c r="E37">
        <f>AVERAGE(H21)</f>
        <v>0.77700000000000002</v>
      </c>
      <c r="F37">
        <f t="shared" si="7"/>
        <v>0.77500000000000002</v>
      </c>
      <c r="G37">
        <f t="shared" si="8"/>
        <v>0.27588999999999997</v>
      </c>
      <c r="H37">
        <f t="shared" si="9"/>
        <v>1.8875132109703299</v>
      </c>
      <c r="I37" s="3">
        <v>0.35999999999999993</v>
      </c>
      <c r="J37">
        <f t="shared" si="10"/>
        <v>5.2430922526953614</v>
      </c>
      <c r="L37">
        <f t="shared" si="11"/>
        <v>86.97717762400454</v>
      </c>
      <c r="Z37" s="11">
        <v>10</v>
      </c>
      <c r="AA37">
        <f t="shared" si="18"/>
        <v>0.1515</v>
      </c>
      <c r="AB37">
        <f t="shared" si="13"/>
        <v>8.249999999999999E-2</v>
      </c>
      <c r="AC37">
        <f t="shared" si="14"/>
        <v>359.99999999999994</v>
      </c>
      <c r="AD37">
        <f t="shared" si="15"/>
        <v>0.35999999999999993</v>
      </c>
    </row>
    <row r="38" spans="3:30" x14ac:dyDescent="0.25">
      <c r="C38" s="11">
        <v>50</v>
      </c>
      <c r="D38" s="11">
        <v>1</v>
      </c>
      <c r="E38">
        <f>AVERAGE(J16:K16)</f>
        <v>0.79700000000000004</v>
      </c>
      <c r="F38">
        <f t="shared" si="7"/>
        <v>0.79500000000000004</v>
      </c>
      <c r="G38">
        <f t="shared" si="8"/>
        <v>0.20164199999999965</v>
      </c>
      <c r="H38">
        <f t="shared" si="9"/>
        <v>1.5908967696688145</v>
      </c>
      <c r="I38" s="3">
        <v>0.33749999999999997</v>
      </c>
      <c r="J38">
        <f t="shared" si="10"/>
        <v>4.7137682064261179</v>
      </c>
      <c r="L38">
        <f t="shared" si="11"/>
        <v>78.196269454908517</v>
      </c>
      <c r="Z38" s="11">
        <v>50</v>
      </c>
      <c r="AA38">
        <f>AVERAGE(AF16:AG16)</f>
        <v>0.14699999999999999</v>
      </c>
      <c r="AB38">
        <f t="shared" si="13"/>
        <v>7.7999999999999986E-2</v>
      </c>
      <c r="AC38">
        <f t="shared" si="14"/>
        <v>337.49999999999994</v>
      </c>
      <c r="AD38">
        <f t="shared" si="15"/>
        <v>0.33749999999999997</v>
      </c>
    </row>
    <row r="39" spans="3:30" x14ac:dyDescent="0.25">
      <c r="C39" s="11">
        <v>50</v>
      </c>
      <c r="D39" s="11">
        <v>2</v>
      </c>
      <c r="E39">
        <f t="shared" ref="E39:E43" si="19">AVERAGE(J17:K17)</f>
        <v>0.79249999999999998</v>
      </c>
      <c r="F39">
        <f t="shared" si="7"/>
        <v>0.79049999999999998</v>
      </c>
      <c r="G39">
        <f t="shared" si="8"/>
        <v>0.21834780000000009</v>
      </c>
      <c r="H39">
        <f t="shared" si="9"/>
        <v>1.6532852836997705</v>
      </c>
      <c r="I39" s="3">
        <v>0.34249999999999992</v>
      </c>
      <c r="J39">
        <f t="shared" si="10"/>
        <v>4.8271103173715941</v>
      </c>
      <c r="L39">
        <f t="shared" si="11"/>
        <v>80.076491362298469</v>
      </c>
      <c r="Z39" s="11">
        <v>50</v>
      </c>
      <c r="AA39">
        <f t="shared" ref="AA39:AA43" si="20">AVERAGE(AF17:AG17)</f>
        <v>0.14799999999999999</v>
      </c>
      <c r="AB39">
        <f t="shared" si="13"/>
        <v>7.8999999999999987E-2</v>
      </c>
      <c r="AC39">
        <f t="shared" si="14"/>
        <v>342.49999999999994</v>
      </c>
      <c r="AD39">
        <f t="shared" si="15"/>
        <v>0.34249999999999992</v>
      </c>
    </row>
    <row r="40" spans="3:30" x14ac:dyDescent="0.25">
      <c r="C40" s="11">
        <v>50</v>
      </c>
      <c r="D40" s="11">
        <v>3</v>
      </c>
      <c r="E40">
        <f t="shared" si="19"/>
        <v>0.76600000000000001</v>
      </c>
      <c r="F40">
        <f t="shared" si="7"/>
        <v>0.76400000000000001</v>
      </c>
      <c r="G40">
        <f t="shared" si="8"/>
        <v>0.31672639999999985</v>
      </c>
      <c r="H40">
        <f t="shared" si="9"/>
        <v>2.073606759992328</v>
      </c>
      <c r="I40" s="3">
        <v>0.36249999999999993</v>
      </c>
      <c r="J40">
        <f t="shared" si="10"/>
        <v>5.7202945103236642</v>
      </c>
      <c r="L40">
        <f t="shared" si="11"/>
        <v>94.893442210609066</v>
      </c>
      <c r="Z40" s="11">
        <v>50</v>
      </c>
      <c r="AA40">
        <f t="shared" si="20"/>
        <v>0.152</v>
      </c>
      <c r="AB40">
        <f t="shared" si="13"/>
        <v>8.299999999999999E-2</v>
      </c>
      <c r="AC40">
        <f t="shared" si="14"/>
        <v>362.49999999999994</v>
      </c>
      <c r="AD40">
        <f t="shared" si="15"/>
        <v>0.36249999999999993</v>
      </c>
    </row>
    <row r="41" spans="3:30" x14ac:dyDescent="0.25">
      <c r="C41" s="11">
        <v>50</v>
      </c>
      <c r="D41" s="11">
        <v>4</v>
      </c>
      <c r="E41">
        <f t="shared" si="19"/>
        <v>0.78200000000000003</v>
      </c>
      <c r="F41">
        <f t="shared" si="7"/>
        <v>0.78</v>
      </c>
      <c r="G41">
        <f t="shared" si="8"/>
        <v>0.25732799999999978</v>
      </c>
      <c r="H41">
        <f t="shared" si="9"/>
        <v>1.8085395060288112</v>
      </c>
      <c r="I41" s="3">
        <v>0.41499999999999998</v>
      </c>
      <c r="J41">
        <f t="shared" si="10"/>
        <v>4.3579265205513522</v>
      </c>
      <c r="L41">
        <f t="shared" si="11"/>
        <v>72.293244288329774</v>
      </c>
      <c r="Z41" s="11">
        <v>50</v>
      </c>
      <c r="AA41">
        <f t="shared" si="20"/>
        <v>0.16250000000000001</v>
      </c>
      <c r="AB41">
        <f t="shared" si="13"/>
        <v>9.35E-2</v>
      </c>
      <c r="AC41">
        <f t="shared" si="14"/>
        <v>415</v>
      </c>
      <c r="AD41">
        <f t="shared" si="15"/>
        <v>0.41499999999999998</v>
      </c>
    </row>
    <row r="42" spans="3:30" x14ac:dyDescent="0.25">
      <c r="C42" s="11">
        <v>50</v>
      </c>
      <c r="D42" s="11">
        <v>5</v>
      </c>
      <c r="E42">
        <f>AVERAGE(J20:K20)</f>
        <v>0.8175</v>
      </c>
      <c r="F42">
        <f t="shared" si="7"/>
        <v>0.8155</v>
      </c>
      <c r="G42">
        <f t="shared" si="8"/>
        <v>0.12553780000000003</v>
      </c>
      <c r="H42">
        <f t="shared" si="9"/>
        <v>1.3351737949834372</v>
      </c>
      <c r="I42" s="3">
        <v>0.33999999999999997</v>
      </c>
      <c r="J42">
        <f t="shared" si="10"/>
        <v>3.9269817499512865</v>
      </c>
      <c r="L42">
        <f t="shared" si="11"/>
        <v>65.14434092136176</v>
      </c>
      <c r="Z42" s="11">
        <v>50</v>
      </c>
      <c r="AA42">
        <f>AVERAGE(AF20:AG20)</f>
        <v>0.14749999999999999</v>
      </c>
      <c r="AB42">
        <f t="shared" si="13"/>
        <v>7.8499999999999986E-2</v>
      </c>
      <c r="AC42">
        <f t="shared" si="14"/>
        <v>339.99999999999994</v>
      </c>
      <c r="AD42">
        <f t="shared" si="15"/>
        <v>0.33999999999999997</v>
      </c>
    </row>
    <row r="43" spans="3:30" x14ac:dyDescent="0.25">
      <c r="C43" s="11">
        <v>50</v>
      </c>
      <c r="D43" s="11">
        <v>6</v>
      </c>
      <c r="E43">
        <f t="shared" si="19"/>
        <v>0.78200000000000003</v>
      </c>
      <c r="F43">
        <f t="shared" si="7"/>
        <v>0.78</v>
      </c>
      <c r="G43">
        <f t="shared" si="8"/>
        <v>0.25732799999999978</v>
      </c>
      <c r="H43">
        <f t="shared" si="9"/>
        <v>1.8085395060288112</v>
      </c>
      <c r="I43" s="3">
        <v>0.39</v>
      </c>
      <c r="J43">
        <f t="shared" si="10"/>
        <v>4.637280784689259</v>
      </c>
      <c r="L43">
        <f t="shared" si="11"/>
        <v>76.927426614504753</v>
      </c>
      <c r="Z43" s="11">
        <v>50</v>
      </c>
      <c r="AA43">
        <f t="shared" si="20"/>
        <v>0.1575</v>
      </c>
      <c r="AB43">
        <f t="shared" si="13"/>
        <v>8.8499999999999995E-2</v>
      </c>
      <c r="AC43">
        <f t="shared" si="14"/>
        <v>390</v>
      </c>
      <c r="AD43">
        <f t="shared" si="15"/>
        <v>0.39</v>
      </c>
    </row>
    <row r="44" spans="3:30" x14ac:dyDescent="0.25">
      <c r="C44" s="11">
        <v>500</v>
      </c>
      <c r="D44" s="11">
        <v>1</v>
      </c>
      <c r="E44">
        <f t="shared" ref="E44:E49" si="21">AVERAGE(L16:M16)</f>
        <v>0.78249999999999997</v>
      </c>
      <c r="F44">
        <f t="shared" si="7"/>
        <v>0.78049999999999997</v>
      </c>
      <c r="G44">
        <f t="shared" si="8"/>
        <v>0.25547180000000003</v>
      </c>
      <c r="H44">
        <f t="shared" si="9"/>
        <v>1.8008261977787063</v>
      </c>
      <c r="I44" s="3">
        <v>0.40500000000000003</v>
      </c>
      <c r="J44">
        <f t="shared" si="10"/>
        <v>4.4464844389597689</v>
      </c>
      <c r="L44">
        <f t="shared" si="11"/>
        <v>73.762323493537593</v>
      </c>
      <c r="Z44" s="11">
        <v>500</v>
      </c>
      <c r="AA44">
        <f>AVERAGE(AH16:AI16)</f>
        <v>0.1605</v>
      </c>
      <c r="AB44">
        <f t="shared" si="13"/>
        <v>9.1499999999999998E-2</v>
      </c>
      <c r="AC44">
        <f t="shared" si="14"/>
        <v>405</v>
      </c>
      <c r="AD44">
        <f t="shared" si="15"/>
        <v>0.40500000000000003</v>
      </c>
    </row>
    <row r="45" spans="3:30" x14ac:dyDescent="0.25">
      <c r="C45" s="11">
        <v>500</v>
      </c>
      <c r="D45" s="11">
        <v>2</v>
      </c>
      <c r="E45">
        <f t="shared" si="21"/>
        <v>0.79249999999999998</v>
      </c>
      <c r="F45">
        <f t="shared" si="7"/>
        <v>0.79049999999999998</v>
      </c>
      <c r="G45">
        <f t="shared" si="8"/>
        <v>0.21834780000000009</v>
      </c>
      <c r="H45">
        <f t="shared" si="9"/>
        <v>1.6532852836997705</v>
      </c>
      <c r="I45" s="3">
        <v>0.40500000000000003</v>
      </c>
      <c r="J45">
        <f t="shared" si="10"/>
        <v>4.0821858856784452</v>
      </c>
      <c r="L45">
        <f t="shared" si="11"/>
        <v>67.71900812737583</v>
      </c>
      <c r="Z45" s="11">
        <v>500</v>
      </c>
      <c r="AA45">
        <f t="shared" ref="AA45:AA49" si="22">AVERAGE(AH17:AI17)</f>
        <v>0.1605</v>
      </c>
      <c r="AB45">
        <f t="shared" si="13"/>
        <v>9.1499999999999998E-2</v>
      </c>
      <c r="AC45">
        <f t="shared" si="14"/>
        <v>405</v>
      </c>
      <c r="AD45">
        <f t="shared" si="15"/>
        <v>0.40500000000000003</v>
      </c>
    </row>
    <row r="46" spans="3:30" x14ac:dyDescent="0.25">
      <c r="C46" s="11">
        <v>500</v>
      </c>
      <c r="D46" s="11">
        <v>3</v>
      </c>
      <c r="E46">
        <f t="shared" si="21"/>
        <v>0.77449999999999997</v>
      </c>
      <c r="F46">
        <f t="shared" si="7"/>
        <v>0.77249999999999996</v>
      </c>
      <c r="G46">
        <f t="shared" si="8"/>
        <v>0.28517100000000006</v>
      </c>
      <c r="H46">
        <f t="shared" si="9"/>
        <v>1.9282840102378278</v>
      </c>
      <c r="I46" s="3">
        <v>0.41749999999999998</v>
      </c>
      <c r="J46">
        <f t="shared" si="10"/>
        <v>4.6186443358989893</v>
      </c>
      <c r="L46">
        <f t="shared" si="11"/>
        <v>76.618268270804307</v>
      </c>
      <c r="Z46" s="11">
        <v>500</v>
      </c>
      <c r="AA46">
        <f t="shared" si="22"/>
        <v>0.16300000000000001</v>
      </c>
      <c r="AB46">
        <f t="shared" si="13"/>
        <v>9.4E-2</v>
      </c>
      <c r="AC46">
        <f t="shared" si="14"/>
        <v>417.5</v>
      </c>
      <c r="AD46">
        <f t="shared" si="15"/>
        <v>0.41749999999999998</v>
      </c>
    </row>
    <row r="47" spans="3:30" x14ac:dyDescent="0.25">
      <c r="C47" s="11">
        <v>500</v>
      </c>
      <c r="D47" s="11">
        <v>4</v>
      </c>
      <c r="E47">
        <f t="shared" si="21"/>
        <v>0.76649999999999996</v>
      </c>
      <c r="F47">
        <f t="shared" si="7"/>
        <v>0.76449999999999996</v>
      </c>
      <c r="G47">
        <f t="shared" si="8"/>
        <v>0.3148702000000001</v>
      </c>
      <c r="H47">
        <f t="shared" si="9"/>
        <v>2.0647629564281793</v>
      </c>
      <c r="I47" s="3">
        <v>0.41249999999999998</v>
      </c>
      <c r="J47">
        <f t="shared" si="10"/>
        <v>5.0054859549774049</v>
      </c>
      <c r="L47">
        <f t="shared" si="11"/>
        <v>83.035548492727543</v>
      </c>
      <c r="Z47" s="11">
        <v>500</v>
      </c>
      <c r="AA47">
        <f t="shared" si="22"/>
        <v>0.16200000000000001</v>
      </c>
      <c r="AB47">
        <f t="shared" si="13"/>
        <v>9.2999999999999999E-2</v>
      </c>
      <c r="AC47">
        <f t="shared" si="14"/>
        <v>412.5</v>
      </c>
      <c r="AD47">
        <f t="shared" si="15"/>
        <v>0.41249999999999998</v>
      </c>
    </row>
    <row r="48" spans="3:30" x14ac:dyDescent="0.25">
      <c r="C48" s="11">
        <v>500</v>
      </c>
      <c r="D48" s="11">
        <v>5</v>
      </c>
      <c r="E48">
        <f t="shared" si="21"/>
        <v>0.78449999999999998</v>
      </c>
      <c r="F48">
        <f t="shared" si="7"/>
        <v>0.78249999999999997</v>
      </c>
      <c r="G48">
        <f t="shared" si="8"/>
        <v>0.24804700000000013</v>
      </c>
      <c r="H48">
        <f t="shared" si="9"/>
        <v>1.7703005325289776</v>
      </c>
      <c r="I48" s="3">
        <v>0.39750000000000002</v>
      </c>
      <c r="J48">
        <f t="shared" si="10"/>
        <v>4.4535862453559183</v>
      </c>
      <c r="L48">
        <f t="shared" si="11"/>
        <v>73.880134710010395</v>
      </c>
      <c r="Z48" s="11">
        <v>500</v>
      </c>
      <c r="AA48">
        <f t="shared" si="22"/>
        <v>0.159</v>
      </c>
      <c r="AB48">
        <f t="shared" si="13"/>
        <v>0.09</v>
      </c>
      <c r="AC48">
        <f t="shared" si="14"/>
        <v>397.5</v>
      </c>
      <c r="AD48">
        <f t="shared" si="15"/>
        <v>0.39750000000000002</v>
      </c>
    </row>
    <row r="49" spans="2:30" x14ac:dyDescent="0.25">
      <c r="C49" s="11">
        <v>500</v>
      </c>
      <c r="D49" s="11">
        <v>6</v>
      </c>
      <c r="E49">
        <f t="shared" si="21"/>
        <v>0.78350000000000009</v>
      </c>
      <c r="F49">
        <f t="shared" si="7"/>
        <v>0.78150000000000008</v>
      </c>
      <c r="G49">
        <f t="shared" si="8"/>
        <v>0.25175939999999963</v>
      </c>
      <c r="H49">
        <f t="shared" si="9"/>
        <v>1.7854981313123157</v>
      </c>
      <c r="I49" s="3">
        <v>0.45999999999999991</v>
      </c>
      <c r="J49">
        <f t="shared" si="10"/>
        <v>3.8815176767659043</v>
      </c>
      <c r="L49">
        <f>(J49/$N$26)*100</f>
        <v>64.390141571365021</v>
      </c>
      <c r="Z49" s="11">
        <v>500</v>
      </c>
      <c r="AA49">
        <f t="shared" si="22"/>
        <v>0.17149999999999999</v>
      </c>
      <c r="AB49">
        <f t="shared" si="13"/>
        <v>0.10249999999999998</v>
      </c>
      <c r="AC49">
        <f t="shared" si="14"/>
        <v>459.99999999999989</v>
      </c>
      <c r="AD49">
        <f t="shared" si="15"/>
        <v>0.45999999999999991</v>
      </c>
    </row>
    <row r="59" spans="2:30" x14ac:dyDescent="0.25">
      <c r="B59" t="s">
        <v>116</v>
      </c>
      <c r="AB59" t="s">
        <v>116</v>
      </c>
    </row>
    <row r="60" spans="2:30" x14ac:dyDescent="0.25">
      <c r="B60" t="s">
        <v>31</v>
      </c>
      <c r="AB60" t="s">
        <v>31</v>
      </c>
    </row>
    <row r="61" spans="2:30" x14ac:dyDescent="0.25">
      <c r="B61" t="s">
        <v>201</v>
      </c>
      <c r="AB61" t="s">
        <v>202</v>
      </c>
    </row>
    <row r="62" spans="2:30" x14ac:dyDescent="0.25">
      <c r="B62" t="s">
        <v>141</v>
      </c>
      <c r="AB62" t="s">
        <v>120</v>
      </c>
    </row>
    <row r="63" spans="2:30" x14ac:dyDescent="0.25">
      <c r="B63" t="s">
        <v>192</v>
      </c>
      <c r="AB63" t="s">
        <v>192</v>
      </c>
    </row>
    <row r="64" spans="2:30" x14ac:dyDescent="0.25">
      <c r="B64" t="s">
        <v>203</v>
      </c>
      <c r="AB64" t="s">
        <v>204</v>
      </c>
    </row>
    <row r="65" spans="2:44" x14ac:dyDescent="0.25">
      <c r="B65" t="s">
        <v>125</v>
      </c>
      <c r="E65" t="s">
        <v>126</v>
      </c>
      <c r="AB65" t="s">
        <v>125</v>
      </c>
      <c r="AE65" t="s">
        <v>126</v>
      </c>
    </row>
    <row r="69" spans="2:44" x14ac:dyDescent="0.25">
      <c r="C69" t="s">
        <v>150</v>
      </c>
      <c r="AC69" t="s">
        <v>128</v>
      </c>
    </row>
    <row r="70" spans="2:44" x14ac:dyDescent="0.25">
      <c r="C70" s="11">
        <v>1</v>
      </c>
      <c r="D70" s="11">
        <v>2</v>
      </c>
      <c r="E70" s="11">
        <v>3</v>
      </c>
      <c r="F70" s="11">
        <v>4</v>
      </c>
      <c r="G70" s="11">
        <v>5</v>
      </c>
      <c r="H70" s="11">
        <v>6</v>
      </c>
      <c r="I70" s="11">
        <v>7</v>
      </c>
      <c r="J70" s="11">
        <v>8</v>
      </c>
      <c r="K70" s="11">
        <v>9</v>
      </c>
      <c r="L70" s="11">
        <v>10</v>
      </c>
      <c r="M70" s="11">
        <v>11</v>
      </c>
      <c r="N70" s="11">
        <v>12</v>
      </c>
      <c r="AC70" s="11">
        <v>1</v>
      </c>
      <c r="AD70" s="11">
        <v>2</v>
      </c>
      <c r="AE70" s="11">
        <v>3</v>
      </c>
      <c r="AF70" s="11">
        <v>4</v>
      </c>
      <c r="AG70" s="11">
        <v>5</v>
      </c>
      <c r="AH70" s="11">
        <v>6</v>
      </c>
      <c r="AI70" s="11">
        <v>7</v>
      </c>
      <c r="AJ70" s="11">
        <v>8</v>
      </c>
      <c r="AK70" s="11">
        <v>9</v>
      </c>
      <c r="AL70" s="11">
        <v>10</v>
      </c>
      <c r="AM70" s="11">
        <v>11</v>
      </c>
      <c r="AN70" s="11">
        <v>12</v>
      </c>
    </row>
    <row r="71" spans="2:44" x14ac:dyDescent="0.25">
      <c r="B71" s="11" t="s">
        <v>38</v>
      </c>
      <c r="C71" s="12">
        <v>0.16500000000000001</v>
      </c>
      <c r="D71" s="13">
        <v>0.246</v>
      </c>
      <c r="E71" s="13">
        <v>0.24399999999999999</v>
      </c>
      <c r="F71" s="13">
        <v>0.67200000000000004</v>
      </c>
      <c r="G71" s="13">
        <v>0.67100000000000004</v>
      </c>
      <c r="H71" s="13">
        <v>0.68700000000000006</v>
      </c>
      <c r="I71" s="13">
        <v>0.68100000000000005</v>
      </c>
      <c r="J71" s="13">
        <v>0.65</v>
      </c>
      <c r="K71" s="13">
        <v>0.67600000000000005</v>
      </c>
      <c r="L71" s="13">
        <v>0.629</v>
      </c>
      <c r="M71" s="13">
        <v>0.63200000000000001</v>
      </c>
      <c r="N71" s="14"/>
      <c r="P71" t="s">
        <v>154</v>
      </c>
      <c r="Q71">
        <f>AVERAGE(D71:E71)</f>
        <v>0.245</v>
      </c>
      <c r="R71">
        <f>Q71-$D$82</f>
        <v>8.1499999999999989E-2</v>
      </c>
      <c r="S71">
        <v>200</v>
      </c>
      <c r="T71">
        <f>LOG(S71)</f>
        <v>2.3010299956639813</v>
      </c>
      <c r="AB71" s="11" t="s">
        <v>38</v>
      </c>
      <c r="AC71" s="12">
        <v>0.505</v>
      </c>
      <c r="AD71" s="13">
        <v>0.50700000000000001</v>
      </c>
      <c r="AE71" s="13">
        <v>0.14499999999999999</v>
      </c>
      <c r="AF71" s="13">
        <v>0.14899999999999999</v>
      </c>
      <c r="AG71" s="13">
        <v>0.14399999999999999</v>
      </c>
      <c r="AH71" s="13">
        <v>0.14799999999999999</v>
      </c>
      <c r="AI71" s="13">
        <v>0.151</v>
      </c>
      <c r="AJ71" s="13">
        <v>0.154</v>
      </c>
      <c r="AK71" s="13">
        <v>0.155</v>
      </c>
      <c r="AL71" s="13">
        <v>0.14899999999999999</v>
      </c>
      <c r="AM71" s="13"/>
      <c r="AN71" s="14"/>
      <c r="AP71" s="16">
        <v>2000</v>
      </c>
      <c r="AQ71">
        <f t="shared" ref="AQ71:AQ78" si="23">AVERAGE(AC71:AD71)</f>
        <v>0.50600000000000001</v>
      </c>
      <c r="AR71">
        <f t="shared" ref="AR71:AR77" si="24">AQ71-$P$22</f>
        <v>0.50600000000000001</v>
      </c>
    </row>
    <row r="72" spans="2:44" x14ac:dyDescent="0.25">
      <c r="B72" s="11" t="s">
        <v>40</v>
      </c>
      <c r="C72" s="15">
        <v>0.16300000000000001</v>
      </c>
      <c r="D72" s="16">
        <v>0.35</v>
      </c>
      <c r="E72" s="16">
        <v>0.36799999999999999</v>
      </c>
      <c r="F72" s="16">
        <v>0.67900000000000005</v>
      </c>
      <c r="G72" s="16">
        <v>0.66</v>
      </c>
      <c r="H72" s="16">
        <v>0.70299999999999996</v>
      </c>
      <c r="I72" s="16">
        <v>0.69</v>
      </c>
      <c r="J72" s="16">
        <v>0.66900000000000004</v>
      </c>
      <c r="K72" s="16">
        <v>0.65800000000000003</v>
      </c>
      <c r="L72" s="16">
        <v>0.629</v>
      </c>
      <c r="M72" s="16">
        <v>0.65500000000000003</v>
      </c>
      <c r="N72" s="17"/>
      <c r="P72" t="s">
        <v>155</v>
      </c>
      <c r="Q72">
        <f t="shared" ref="Q72:Q75" si="25">AVERAGE(D72:E72)</f>
        <v>0.35899999999999999</v>
      </c>
      <c r="R72">
        <f t="shared" ref="R72:R75" si="26">Q72-$D$82</f>
        <v>0.19549999999999998</v>
      </c>
      <c r="S72">
        <v>52</v>
      </c>
      <c r="T72">
        <f t="shared" ref="T72:T75" si="27">LOG(S72)</f>
        <v>1.7160033436347992</v>
      </c>
      <c r="AB72" s="11" t="s">
        <v>40</v>
      </c>
      <c r="AC72" s="15">
        <v>0.317</v>
      </c>
      <c r="AD72" s="16">
        <v>0.32</v>
      </c>
      <c r="AE72" s="16">
        <v>0.13500000000000001</v>
      </c>
      <c r="AF72" s="16">
        <v>0.14000000000000001</v>
      </c>
      <c r="AG72" s="16">
        <v>0.14299999999999999</v>
      </c>
      <c r="AH72" s="16">
        <v>0.14199999999999999</v>
      </c>
      <c r="AI72" s="16">
        <v>0.14799999999999999</v>
      </c>
      <c r="AJ72" s="16">
        <v>0.14699999999999999</v>
      </c>
      <c r="AK72" s="16">
        <v>0.155</v>
      </c>
      <c r="AL72" s="16">
        <v>0.155</v>
      </c>
      <c r="AM72" s="16"/>
      <c r="AN72" s="17"/>
      <c r="AP72" s="16">
        <f>AP71/2</f>
        <v>1000</v>
      </c>
      <c r="AQ72">
        <f t="shared" si="23"/>
        <v>0.31850000000000001</v>
      </c>
      <c r="AR72">
        <f t="shared" si="24"/>
        <v>0.31850000000000001</v>
      </c>
    </row>
    <row r="73" spans="2:44" x14ac:dyDescent="0.25">
      <c r="B73" s="11" t="s">
        <v>41</v>
      </c>
      <c r="C73" s="15">
        <v>0.375</v>
      </c>
      <c r="D73" s="16">
        <v>0.52600000000000002</v>
      </c>
      <c r="E73" s="16">
        <v>0.54900000000000004</v>
      </c>
      <c r="F73" s="16">
        <v>0.68400000000000005</v>
      </c>
      <c r="G73" s="16">
        <v>0.66900000000000004</v>
      </c>
      <c r="H73" s="16">
        <v>0.64900000000000002</v>
      </c>
      <c r="I73" s="16">
        <v>0.66100000000000003</v>
      </c>
      <c r="J73" s="16">
        <v>0.65700000000000003</v>
      </c>
      <c r="K73" s="16">
        <v>0.66700000000000004</v>
      </c>
      <c r="L73" s="16">
        <v>0.63800000000000001</v>
      </c>
      <c r="M73" s="16">
        <v>0.64700000000000002</v>
      </c>
      <c r="N73" s="17"/>
      <c r="P73" t="s">
        <v>156</v>
      </c>
      <c r="Q73">
        <f t="shared" si="25"/>
        <v>0.53750000000000009</v>
      </c>
      <c r="R73">
        <f t="shared" si="26"/>
        <v>0.37400000000000011</v>
      </c>
      <c r="S73">
        <v>12.5</v>
      </c>
      <c r="T73">
        <f t="shared" si="27"/>
        <v>1.0969100130080565</v>
      </c>
      <c r="AB73" s="11" t="s">
        <v>41</v>
      </c>
      <c r="AC73" s="15">
        <v>0.19400000000000001</v>
      </c>
      <c r="AD73" s="16">
        <v>0.19800000000000001</v>
      </c>
      <c r="AE73" s="16">
        <v>0.14699999999999999</v>
      </c>
      <c r="AF73" s="16">
        <v>0.14499999999999999</v>
      </c>
      <c r="AG73" s="16">
        <v>0.154</v>
      </c>
      <c r="AH73" s="16">
        <v>0.16400000000000001</v>
      </c>
      <c r="AI73" s="16">
        <v>0.154</v>
      </c>
      <c r="AJ73" s="16">
        <v>0.14699999999999999</v>
      </c>
      <c r="AK73" s="16">
        <v>0.151</v>
      </c>
      <c r="AL73" s="16">
        <v>0.153</v>
      </c>
      <c r="AM73" s="16"/>
      <c r="AN73" s="17"/>
      <c r="AP73" s="16">
        <f t="shared" ref="AP73:AP76" si="28">AP72/2</f>
        <v>500</v>
      </c>
      <c r="AQ73">
        <f t="shared" si="23"/>
        <v>0.19600000000000001</v>
      </c>
      <c r="AR73">
        <f t="shared" si="24"/>
        <v>0.19600000000000001</v>
      </c>
    </row>
    <row r="74" spans="2:44" x14ac:dyDescent="0.25">
      <c r="B74" s="11" t="s">
        <v>42</v>
      </c>
      <c r="C74" s="15">
        <v>0.35699999999999998</v>
      </c>
      <c r="D74" s="16">
        <v>0.68700000000000006</v>
      </c>
      <c r="E74" s="16">
        <v>0.72099999999999997</v>
      </c>
      <c r="F74" s="16">
        <v>0.69</v>
      </c>
      <c r="G74" s="16">
        <v>0.68400000000000005</v>
      </c>
      <c r="H74" s="16">
        <v>0.71699999999999997</v>
      </c>
      <c r="I74" s="16">
        <v>0.71499999999999997</v>
      </c>
      <c r="J74" s="16">
        <v>0.71099999999999997</v>
      </c>
      <c r="K74" s="16">
        <v>0.67</v>
      </c>
      <c r="L74" s="16">
        <v>0.629</v>
      </c>
      <c r="M74" s="16">
        <v>0.64400000000000002</v>
      </c>
      <c r="N74" s="17"/>
      <c r="P74" t="s">
        <v>157</v>
      </c>
      <c r="Q74">
        <f t="shared" si="25"/>
        <v>0.70399999999999996</v>
      </c>
      <c r="S74">
        <v>3.13</v>
      </c>
      <c r="AB74" s="11" t="s">
        <v>42</v>
      </c>
      <c r="AC74" s="15">
        <v>0.13500000000000001</v>
      </c>
      <c r="AD74" s="16">
        <v>0.13700000000000001</v>
      </c>
      <c r="AE74" s="16">
        <v>0.13900000000000001</v>
      </c>
      <c r="AF74" s="16">
        <v>0.14799999999999999</v>
      </c>
      <c r="AG74" s="16">
        <v>0.13900000000000001</v>
      </c>
      <c r="AH74" s="16">
        <v>0.14000000000000001</v>
      </c>
      <c r="AI74" s="16">
        <v>0.128</v>
      </c>
      <c r="AJ74" s="16">
        <v>0.127</v>
      </c>
      <c r="AK74" s="16">
        <v>0.155</v>
      </c>
      <c r="AL74" s="16">
        <v>0.157</v>
      </c>
      <c r="AM74" s="16"/>
      <c r="AN74" s="17"/>
      <c r="AP74" s="16">
        <f t="shared" si="28"/>
        <v>250</v>
      </c>
      <c r="AQ74">
        <f t="shared" si="23"/>
        <v>0.13600000000000001</v>
      </c>
      <c r="AR74">
        <f t="shared" si="24"/>
        <v>0.13600000000000001</v>
      </c>
    </row>
    <row r="75" spans="2:44" x14ac:dyDescent="0.25">
      <c r="B75" s="11" t="s">
        <v>43</v>
      </c>
      <c r="C75" s="15">
        <v>0.16</v>
      </c>
      <c r="D75" s="16">
        <v>0.77100000000000002</v>
      </c>
      <c r="E75" s="16">
        <v>0.83499999999999996</v>
      </c>
      <c r="F75" s="16">
        <v>0.70199999999999996</v>
      </c>
      <c r="G75" s="16">
        <v>0.70499999999999996</v>
      </c>
      <c r="H75" s="16">
        <v>0.73199999999999998</v>
      </c>
      <c r="I75" s="16">
        <v>0.72199999999999998</v>
      </c>
      <c r="J75" s="16">
        <v>0.68300000000000005</v>
      </c>
      <c r="K75" s="16">
        <v>0.70299999999999996</v>
      </c>
      <c r="L75" s="16">
        <v>0.65100000000000002</v>
      </c>
      <c r="M75" s="16">
        <v>0.65800000000000003</v>
      </c>
      <c r="N75" s="17"/>
      <c r="P75" t="s">
        <v>158</v>
      </c>
      <c r="Q75">
        <f t="shared" si="25"/>
        <v>0.80299999999999994</v>
      </c>
      <c r="R75">
        <f t="shared" si="26"/>
        <v>0.63949999999999996</v>
      </c>
      <c r="S75">
        <v>0.78</v>
      </c>
      <c r="T75">
        <f t="shared" si="27"/>
        <v>-0.10790539730951958</v>
      </c>
      <c r="AB75" s="11" t="s">
        <v>43</v>
      </c>
      <c r="AC75" s="15">
        <v>0.10199999999999999</v>
      </c>
      <c r="AD75" s="16">
        <v>0.10299999999999999</v>
      </c>
      <c r="AE75" s="16">
        <v>0.14199999999999999</v>
      </c>
      <c r="AF75" s="16">
        <v>0.153</v>
      </c>
      <c r="AG75" s="16">
        <v>0.14399999999999999</v>
      </c>
      <c r="AH75" s="16">
        <v>0.14399999999999999</v>
      </c>
      <c r="AI75" s="16">
        <v>0.14099999999999999</v>
      </c>
      <c r="AJ75" s="16">
        <v>0.14599999999999999</v>
      </c>
      <c r="AK75" s="16">
        <v>0.15</v>
      </c>
      <c r="AL75" s="16">
        <v>0.14899999999999999</v>
      </c>
      <c r="AM75" s="16"/>
      <c r="AN75" s="17"/>
      <c r="AP75" s="16">
        <f t="shared" si="28"/>
        <v>125</v>
      </c>
      <c r="AQ75">
        <f t="shared" si="23"/>
        <v>0.10249999999999999</v>
      </c>
      <c r="AR75">
        <f t="shared" si="24"/>
        <v>0.10249999999999999</v>
      </c>
    </row>
    <row r="76" spans="2:44" x14ac:dyDescent="0.25">
      <c r="B76" s="11" t="s">
        <v>44</v>
      </c>
      <c r="C76" s="15">
        <v>0.16700000000000001</v>
      </c>
      <c r="D76" s="16"/>
      <c r="E76" s="16"/>
      <c r="F76" s="16">
        <v>0.69799999999999995</v>
      </c>
      <c r="G76" s="16">
        <v>0.70899999999999996</v>
      </c>
      <c r="H76" s="16">
        <v>0.74</v>
      </c>
      <c r="I76" s="16">
        <v>0.74299999999999999</v>
      </c>
      <c r="J76" s="16">
        <v>0.70699999999999996</v>
      </c>
      <c r="K76" s="16">
        <v>0.69699999999999995</v>
      </c>
      <c r="L76" s="16">
        <v>0.65400000000000003</v>
      </c>
      <c r="M76" s="16">
        <v>0.58399999999999996</v>
      </c>
      <c r="N76" s="17"/>
      <c r="AB76" s="11" t="s">
        <v>44</v>
      </c>
      <c r="AC76" s="15">
        <v>8.5000000000000006E-2</v>
      </c>
      <c r="AD76" s="16">
        <v>8.5000000000000006E-2</v>
      </c>
      <c r="AE76" s="16">
        <v>0.14099999999999999</v>
      </c>
      <c r="AF76" s="16">
        <v>0.14199999999999999</v>
      </c>
      <c r="AG76" s="16">
        <v>0.13900000000000001</v>
      </c>
      <c r="AH76" s="16">
        <v>0.14799999999999999</v>
      </c>
      <c r="AI76" s="16">
        <v>0.14399999999999999</v>
      </c>
      <c r="AJ76" s="16">
        <v>0.14699999999999999</v>
      </c>
      <c r="AK76" s="16">
        <v>0.13300000000000001</v>
      </c>
      <c r="AL76" s="16">
        <v>0.154</v>
      </c>
      <c r="AM76" s="16"/>
      <c r="AN76" s="17"/>
      <c r="AP76" s="16">
        <f t="shared" si="28"/>
        <v>62.5</v>
      </c>
      <c r="AQ76">
        <f t="shared" si="23"/>
        <v>8.5000000000000006E-2</v>
      </c>
      <c r="AR76">
        <f t="shared" si="24"/>
        <v>8.5000000000000006E-2</v>
      </c>
    </row>
    <row r="77" spans="2:44" x14ac:dyDescent="0.25">
      <c r="B77" s="11" t="s">
        <v>45</v>
      </c>
      <c r="C77" s="15">
        <v>0.89500000000000002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7"/>
      <c r="AB77" s="11" t="s">
        <v>45</v>
      </c>
      <c r="AC77" s="15">
        <v>7.5999999999999998E-2</v>
      </c>
      <c r="AD77" s="16">
        <v>7.6999999999999999E-2</v>
      </c>
      <c r="AE77" s="16"/>
      <c r="AF77" s="16"/>
      <c r="AG77" s="16"/>
      <c r="AH77" s="16"/>
      <c r="AI77" s="16"/>
      <c r="AJ77" s="16"/>
      <c r="AK77" s="16"/>
      <c r="AL77" s="16"/>
      <c r="AM77" s="16"/>
      <c r="AN77" s="17"/>
      <c r="AP77" s="16">
        <f>AP76/2</f>
        <v>31.25</v>
      </c>
      <c r="AQ77">
        <f t="shared" si="23"/>
        <v>7.6499999999999999E-2</v>
      </c>
      <c r="AR77">
        <f t="shared" si="24"/>
        <v>7.6499999999999999E-2</v>
      </c>
    </row>
    <row r="78" spans="2:44" x14ac:dyDescent="0.25">
      <c r="B78" s="11" t="s">
        <v>46</v>
      </c>
      <c r="C78" s="18">
        <v>0.88700000000000001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20"/>
      <c r="AB78" s="11" t="s">
        <v>46</v>
      </c>
      <c r="AC78" s="18">
        <v>7.0000000000000007E-2</v>
      </c>
      <c r="AD78" s="19">
        <v>6.9000000000000006E-2</v>
      </c>
      <c r="AE78" s="19"/>
      <c r="AF78" s="19"/>
      <c r="AG78" s="19"/>
      <c r="AH78" s="19"/>
      <c r="AI78" s="19"/>
      <c r="AJ78" s="19"/>
      <c r="AK78" s="19"/>
      <c r="AL78" s="19"/>
      <c r="AM78" s="19"/>
      <c r="AN78" s="20"/>
      <c r="AP78" s="16">
        <v>0</v>
      </c>
      <c r="AQ78">
        <f t="shared" si="23"/>
        <v>6.9500000000000006E-2</v>
      </c>
    </row>
    <row r="80" spans="2:44" x14ac:dyDescent="0.25">
      <c r="C80" t="s">
        <v>173</v>
      </c>
      <c r="D80">
        <f>AVERAGE(C71:C72)</f>
        <v>0.16400000000000001</v>
      </c>
      <c r="E80">
        <f>D80-$D$81</f>
        <v>-0.20199999999999999</v>
      </c>
      <c r="AE80" s="1" t="s">
        <v>47</v>
      </c>
      <c r="AF80" s="1" t="s">
        <v>48</v>
      </c>
      <c r="AG80" s="11" t="s">
        <v>132</v>
      </c>
      <c r="AH80" s="1" t="s">
        <v>170</v>
      </c>
    </row>
    <row r="81" spans="3:34" x14ac:dyDescent="0.25">
      <c r="C81" t="s">
        <v>151</v>
      </c>
      <c r="D81">
        <f>AVERAGE(C73:C74)</f>
        <v>0.36599999999999999</v>
      </c>
      <c r="E81">
        <f t="shared" ref="E81:E83" si="29">D81-$D$81</f>
        <v>0</v>
      </c>
      <c r="AC81" s="163" t="s">
        <v>205</v>
      </c>
      <c r="AD81" s="11">
        <v>1</v>
      </c>
      <c r="AE81">
        <f>AVERAGE(AE71:AF71)</f>
        <v>0.14699999999999999</v>
      </c>
      <c r="AF81">
        <f>AE81-$AQ$78</f>
        <v>7.7499999999999986E-2</v>
      </c>
      <c r="AG81">
        <f>(AF81-0.0013)/0.0002</f>
        <v>380.99999999999994</v>
      </c>
      <c r="AH81">
        <f>AG81/1000</f>
        <v>0.38099999999999995</v>
      </c>
    </row>
    <row r="82" spans="3:34" x14ac:dyDescent="0.25">
      <c r="C82" t="s">
        <v>152</v>
      </c>
      <c r="D82">
        <f>AVERAGE(C75:C76)</f>
        <v>0.16350000000000001</v>
      </c>
      <c r="E82">
        <f t="shared" si="29"/>
        <v>-0.20249999999999999</v>
      </c>
      <c r="AC82" s="163"/>
      <c r="AD82" s="11">
        <v>2</v>
      </c>
      <c r="AE82">
        <f t="shared" ref="AE82:AE86" si="30">AVERAGE(AE72:AF72)</f>
        <v>0.13750000000000001</v>
      </c>
      <c r="AF82">
        <f t="shared" ref="AF82:AF89" si="31">AE82-$AQ$78</f>
        <v>6.8000000000000005E-2</v>
      </c>
      <c r="AG82">
        <f t="shared" ref="AG82:AG89" si="32">(AF82-0.0013)/0.0002</f>
        <v>333.50000000000006</v>
      </c>
      <c r="AH82">
        <f t="shared" ref="AH82:AH89" si="33">AG82/1000</f>
        <v>0.33350000000000007</v>
      </c>
    </row>
    <row r="83" spans="3:34" x14ac:dyDescent="0.25">
      <c r="C83" t="s">
        <v>153</v>
      </c>
      <c r="D83">
        <f>AVERAGE(C77:C78)</f>
        <v>0.89100000000000001</v>
      </c>
      <c r="E83">
        <f t="shared" si="29"/>
        <v>0.52500000000000002</v>
      </c>
      <c r="I83" s="1" t="s">
        <v>159</v>
      </c>
      <c r="AC83" s="163"/>
      <c r="AD83" s="11">
        <v>3</v>
      </c>
      <c r="AE83">
        <f t="shared" si="30"/>
        <v>0.14599999999999999</v>
      </c>
      <c r="AF83">
        <f t="shared" si="31"/>
        <v>7.6499999999999985E-2</v>
      </c>
      <c r="AG83">
        <f t="shared" si="32"/>
        <v>375.99999999999994</v>
      </c>
      <c r="AH83">
        <f t="shared" si="33"/>
        <v>0.37599999999999995</v>
      </c>
    </row>
    <row r="84" spans="3:34" x14ac:dyDescent="0.25">
      <c r="F84" s="1" t="s">
        <v>47</v>
      </c>
      <c r="G84" s="1" t="s">
        <v>48</v>
      </c>
      <c r="I84" s="1" t="s">
        <v>160</v>
      </c>
      <c r="J84" s="1" t="s">
        <v>176</v>
      </c>
      <c r="K84" s="1" t="s">
        <v>162</v>
      </c>
      <c r="L84" s="1" t="s">
        <v>6</v>
      </c>
      <c r="M84" s="1" t="s">
        <v>206</v>
      </c>
      <c r="AC84" s="163"/>
      <c r="AD84" s="11">
        <v>4</v>
      </c>
      <c r="AE84">
        <f t="shared" si="30"/>
        <v>0.14350000000000002</v>
      </c>
      <c r="AF84">
        <f t="shared" si="31"/>
        <v>7.400000000000001E-2</v>
      </c>
      <c r="AG84">
        <f t="shared" si="32"/>
        <v>363.50000000000006</v>
      </c>
      <c r="AH84">
        <f t="shared" si="33"/>
        <v>0.36350000000000005</v>
      </c>
    </row>
    <row r="85" spans="3:34" x14ac:dyDescent="0.25">
      <c r="D85" s="163" t="s">
        <v>205</v>
      </c>
      <c r="E85" s="11">
        <v>1</v>
      </c>
      <c r="F85">
        <f t="shared" ref="F85:F90" si="34">AVERAGE(F71:G71)</f>
        <v>0.67149999999999999</v>
      </c>
      <c r="G85">
        <f>F85-$D$82</f>
        <v>0.50800000000000001</v>
      </c>
      <c r="H85">
        <f>(-4.2335*G85)+2.6174</f>
        <v>0.46678199999999981</v>
      </c>
      <c r="I85">
        <f>10^H85</f>
        <v>2.9294224128544726</v>
      </c>
      <c r="J85">
        <v>0.38099999999999995</v>
      </c>
      <c r="K85">
        <f>I85/J85</f>
        <v>7.6887727371508481</v>
      </c>
      <c r="L85">
        <f>AVERAGE(K85:K90)</f>
        <v>7.1087893359095942</v>
      </c>
      <c r="M85">
        <f>(K85/$L$85)*100</f>
        <v>108.15868038614542</v>
      </c>
      <c r="AC85" s="163"/>
      <c r="AD85" s="11">
        <v>5</v>
      </c>
      <c r="AE85">
        <f t="shared" si="30"/>
        <v>0.14749999999999999</v>
      </c>
      <c r="AF85">
        <f t="shared" si="31"/>
        <v>7.7999999999999986E-2</v>
      </c>
      <c r="AG85">
        <f t="shared" si="32"/>
        <v>383.49999999999994</v>
      </c>
      <c r="AH85">
        <f t="shared" si="33"/>
        <v>0.38349999999999995</v>
      </c>
    </row>
    <row r="86" spans="3:34" x14ac:dyDescent="0.25">
      <c r="D86" s="163"/>
      <c r="E86" s="11">
        <v>2</v>
      </c>
      <c r="F86">
        <f t="shared" si="34"/>
        <v>0.66949999999999998</v>
      </c>
      <c r="G86">
        <f t="shared" ref="G86:G103" si="35">F86-$D$82</f>
        <v>0.50600000000000001</v>
      </c>
      <c r="H86">
        <f t="shared" ref="H86:H103" si="36">(-4.2335*G86)+2.6174</f>
        <v>0.47524899999999981</v>
      </c>
      <c r="I86">
        <f t="shared" ref="I86:I103" si="37">10^H86</f>
        <v>2.9870947599749766</v>
      </c>
      <c r="J86">
        <v>0.33350000000000007</v>
      </c>
      <c r="K86">
        <f>I86/J86</f>
        <v>8.9568058769864347</v>
      </c>
      <c r="M86">
        <f t="shared" ref="M86:M103" si="38">(K86/$L$85)*100</f>
        <v>125.99622036542431</v>
      </c>
      <c r="AC86" s="163"/>
      <c r="AD86" s="11">
        <v>6</v>
      </c>
      <c r="AE86">
        <f t="shared" si="30"/>
        <v>0.14149999999999999</v>
      </c>
      <c r="AF86">
        <f t="shared" si="31"/>
        <v>7.1999999999999981E-2</v>
      </c>
      <c r="AG86">
        <f t="shared" si="32"/>
        <v>353.49999999999989</v>
      </c>
      <c r="AH86">
        <f t="shared" si="33"/>
        <v>0.35349999999999987</v>
      </c>
    </row>
    <row r="87" spans="3:34" x14ac:dyDescent="0.25">
      <c r="D87" s="163"/>
      <c r="E87" s="11">
        <v>3</v>
      </c>
      <c r="F87">
        <f t="shared" si="34"/>
        <v>0.6765000000000001</v>
      </c>
      <c r="G87">
        <f t="shared" si="35"/>
        <v>0.51300000000000012</v>
      </c>
      <c r="H87">
        <f t="shared" si="36"/>
        <v>0.44561449999999914</v>
      </c>
      <c r="I87">
        <f t="shared" si="37"/>
        <v>2.7900661491416909</v>
      </c>
      <c r="J87">
        <v>0.37599999999999995</v>
      </c>
      <c r="K87">
        <f t="shared" ref="K87:K103" si="39">I87/J87</f>
        <v>7.4203886945257747</v>
      </c>
      <c r="M87">
        <f t="shared" si="38"/>
        <v>104.38329712546349</v>
      </c>
      <c r="AC87" s="163" t="s">
        <v>207</v>
      </c>
      <c r="AD87" s="11">
        <v>1</v>
      </c>
      <c r="AE87">
        <f>AVERAGE(AG71:AH71)</f>
        <v>0.14599999999999999</v>
      </c>
      <c r="AF87">
        <f t="shared" si="31"/>
        <v>7.6499999999999985E-2</v>
      </c>
      <c r="AG87">
        <f t="shared" si="32"/>
        <v>375.99999999999994</v>
      </c>
      <c r="AH87">
        <f t="shared" si="33"/>
        <v>0.37599999999999995</v>
      </c>
    </row>
    <row r="88" spans="3:34" x14ac:dyDescent="0.25">
      <c r="D88" s="163"/>
      <c r="E88" s="11">
        <v>4</v>
      </c>
      <c r="F88">
        <f t="shared" si="34"/>
        <v>0.68700000000000006</v>
      </c>
      <c r="G88">
        <f t="shared" si="35"/>
        <v>0.52350000000000008</v>
      </c>
      <c r="H88">
        <f t="shared" si="36"/>
        <v>0.40116274999999968</v>
      </c>
      <c r="I88">
        <f t="shared" si="37"/>
        <v>2.5186205932279111</v>
      </c>
      <c r="J88">
        <v>0.36350000000000005</v>
      </c>
      <c r="K88">
        <f t="shared" si="39"/>
        <v>6.928804933226715</v>
      </c>
      <c r="M88">
        <f t="shared" si="38"/>
        <v>97.468142686776503</v>
      </c>
      <c r="AC88" s="163"/>
      <c r="AD88" s="11">
        <v>2</v>
      </c>
      <c r="AE88">
        <f t="shared" ref="AE88:AE89" si="40">AVERAGE(AG72:AH72)</f>
        <v>0.14249999999999999</v>
      </c>
      <c r="AF88">
        <f t="shared" si="31"/>
        <v>7.2999999999999982E-2</v>
      </c>
      <c r="AG88">
        <f t="shared" si="32"/>
        <v>358.49999999999989</v>
      </c>
      <c r="AH88">
        <f t="shared" si="33"/>
        <v>0.35849999999999987</v>
      </c>
    </row>
    <row r="89" spans="3:34" x14ac:dyDescent="0.25">
      <c r="D89" s="163"/>
      <c r="E89" s="11">
        <v>5</v>
      </c>
      <c r="F89">
        <f t="shared" si="34"/>
        <v>0.70350000000000001</v>
      </c>
      <c r="G89">
        <f t="shared" si="35"/>
        <v>0.54</v>
      </c>
      <c r="H89">
        <f t="shared" si="36"/>
        <v>0.33130999999999977</v>
      </c>
      <c r="I89">
        <f t="shared" si="37"/>
        <v>2.1444207454304052</v>
      </c>
      <c r="J89">
        <v>0.38349999999999995</v>
      </c>
      <c r="K89">
        <f t="shared" si="39"/>
        <v>5.5917098968198315</v>
      </c>
      <c r="M89">
        <f t="shared" si="38"/>
        <v>78.6591025925282</v>
      </c>
      <c r="AC89" s="163"/>
      <c r="AD89" s="11">
        <v>3</v>
      </c>
      <c r="AE89">
        <f t="shared" si="40"/>
        <v>0.159</v>
      </c>
      <c r="AF89">
        <f t="shared" si="31"/>
        <v>8.9499999999999996E-2</v>
      </c>
      <c r="AG89">
        <f t="shared" si="32"/>
        <v>441</v>
      </c>
      <c r="AH89">
        <f t="shared" si="33"/>
        <v>0.441</v>
      </c>
    </row>
    <row r="90" spans="3:34" x14ac:dyDescent="0.25">
      <c r="D90" s="163"/>
      <c r="E90" s="11">
        <v>6</v>
      </c>
      <c r="F90">
        <f t="shared" si="34"/>
        <v>0.70350000000000001</v>
      </c>
      <c r="G90">
        <f t="shared" si="35"/>
        <v>0.54</v>
      </c>
      <c r="H90">
        <f t="shared" si="36"/>
        <v>0.33130999999999977</v>
      </c>
      <c r="I90">
        <f t="shared" si="37"/>
        <v>2.1444207454304052</v>
      </c>
      <c r="J90">
        <v>0.35349999999999987</v>
      </c>
      <c r="K90">
        <f t="shared" si="39"/>
        <v>6.0662538767479663</v>
      </c>
      <c r="M90">
        <f t="shared" si="38"/>
        <v>85.334556843662156</v>
      </c>
      <c r="AC90" s="163" t="s">
        <v>208</v>
      </c>
      <c r="AD90" s="11">
        <v>1</v>
      </c>
      <c r="AE90">
        <f t="shared" ref="AE90:AE95" si="41">AVERAGE(AI71:AJ71)</f>
        <v>0.1525</v>
      </c>
      <c r="AF90">
        <f t="shared" ref="AF90:AF99" si="42">AE90-$AQ$78</f>
        <v>8.299999999999999E-2</v>
      </c>
      <c r="AG90">
        <f t="shared" ref="AG90:AG99" si="43">(AF90-0.0013)/0.0002</f>
        <v>408.49999999999994</v>
      </c>
      <c r="AH90">
        <f t="shared" ref="AH90:AH99" si="44">AG90/1000</f>
        <v>0.40849999999999992</v>
      </c>
    </row>
    <row r="91" spans="3:34" ht="15" customHeight="1" x14ac:dyDescent="0.25">
      <c r="D91" s="163" t="s">
        <v>207</v>
      </c>
      <c r="E91" s="11">
        <v>1</v>
      </c>
      <c r="F91">
        <f t="shared" ref="F91:F93" si="45">AVERAGE(H71:I71)</f>
        <v>0.68400000000000005</v>
      </c>
      <c r="G91">
        <f t="shared" si="35"/>
        <v>0.52050000000000007</v>
      </c>
      <c r="H91">
        <f t="shared" si="36"/>
        <v>0.41386324999999946</v>
      </c>
      <c r="I91">
        <f t="shared" si="37"/>
        <v>2.5933626393737583</v>
      </c>
      <c r="J91">
        <v>0.37599999999999995</v>
      </c>
      <c r="K91">
        <f t="shared" si="39"/>
        <v>6.8972410621642517</v>
      </c>
      <c r="M91">
        <f t="shared" si="38"/>
        <v>97.024130780233989</v>
      </c>
      <c r="AC91" s="163"/>
      <c r="AD91" s="11">
        <v>2</v>
      </c>
      <c r="AE91">
        <f t="shared" si="41"/>
        <v>0.14749999999999999</v>
      </c>
      <c r="AF91">
        <f t="shared" si="42"/>
        <v>7.7999999999999986E-2</v>
      </c>
      <c r="AG91">
        <f t="shared" si="43"/>
        <v>383.49999999999994</v>
      </c>
      <c r="AH91">
        <f t="shared" si="44"/>
        <v>0.38349999999999995</v>
      </c>
    </row>
    <row r="92" spans="3:34" x14ac:dyDescent="0.25">
      <c r="D92" s="163"/>
      <c r="E92" s="11">
        <v>2</v>
      </c>
      <c r="F92">
        <f t="shared" si="45"/>
        <v>0.6964999999999999</v>
      </c>
      <c r="G92">
        <f t="shared" si="35"/>
        <v>0.53299999999999992</v>
      </c>
      <c r="H92">
        <f t="shared" si="36"/>
        <v>0.3609445</v>
      </c>
      <c r="I92">
        <f t="shared" si="37"/>
        <v>2.2958552340514737</v>
      </c>
      <c r="J92">
        <v>0.35849999999999987</v>
      </c>
      <c r="K92">
        <f t="shared" si="39"/>
        <v>6.4040592302691062</v>
      </c>
      <c r="M92">
        <f t="shared" si="38"/>
        <v>90.08649613400992</v>
      </c>
      <c r="AC92" s="163"/>
      <c r="AD92" s="11">
        <v>3</v>
      </c>
      <c r="AE92">
        <f t="shared" si="41"/>
        <v>0.15049999999999999</v>
      </c>
      <c r="AF92">
        <f t="shared" si="42"/>
        <v>8.0999999999999989E-2</v>
      </c>
      <c r="AG92">
        <f t="shared" si="43"/>
        <v>398.49999999999994</v>
      </c>
      <c r="AH92">
        <f t="shared" si="44"/>
        <v>0.39849999999999997</v>
      </c>
    </row>
    <row r="93" spans="3:34" x14ac:dyDescent="0.25">
      <c r="D93" s="163"/>
      <c r="E93" s="11">
        <v>3</v>
      </c>
      <c r="F93">
        <f t="shared" si="45"/>
        <v>0.65500000000000003</v>
      </c>
      <c r="G93">
        <f t="shared" si="35"/>
        <v>0.49150000000000005</v>
      </c>
      <c r="H93">
        <f t="shared" si="36"/>
        <v>0.53663474999999972</v>
      </c>
      <c r="I93">
        <f t="shared" si="37"/>
        <v>3.44060447605762</v>
      </c>
      <c r="J93">
        <v>0.441</v>
      </c>
      <c r="K93">
        <f t="shared" si="39"/>
        <v>7.8018242087474379</v>
      </c>
      <c r="M93">
        <f t="shared" si="38"/>
        <v>109.74898593965953</v>
      </c>
      <c r="AC93" s="163"/>
      <c r="AD93" s="11">
        <v>4</v>
      </c>
      <c r="AE93">
        <f t="shared" si="41"/>
        <v>0.1275</v>
      </c>
      <c r="AF93">
        <f t="shared" si="42"/>
        <v>5.7999999999999996E-2</v>
      </c>
      <c r="AG93">
        <f t="shared" si="43"/>
        <v>283.49999999999994</v>
      </c>
      <c r="AH93">
        <f t="shared" si="44"/>
        <v>0.28349999999999992</v>
      </c>
    </row>
    <row r="94" spans="3:34" ht="15" customHeight="1" x14ac:dyDescent="0.25">
      <c r="D94" s="163" t="s">
        <v>208</v>
      </c>
      <c r="E94" s="11">
        <v>1</v>
      </c>
      <c r="F94">
        <f t="shared" ref="F94:F99" si="46">AVERAGE(J71:K71)</f>
        <v>0.66300000000000003</v>
      </c>
      <c r="G94">
        <f t="shared" ref="G94:G99" si="47">F94-$D$82</f>
        <v>0.49950000000000006</v>
      </c>
      <c r="H94">
        <f t="shared" ref="H94:H99" si="48">(-4.2335*G94)+2.6174</f>
        <v>0.50276674999999971</v>
      </c>
      <c r="I94">
        <f t="shared" ref="I94:I99" si="49">10^H94</f>
        <v>3.1824878185387693</v>
      </c>
      <c r="J94">
        <v>0.40849999999999992</v>
      </c>
      <c r="K94">
        <f t="shared" ref="K94:K99" si="50">I94/J94</f>
        <v>7.7906678544400734</v>
      </c>
      <c r="M94">
        <f t="shared" ref="M94:M99" si="51">(K94/$L$85)*100</f>
        <v>109.59204846718433</v>
      </c>
      <c r="AC94" s="163"/>
      <c r="AD94" s="11">
        <v>5</v>
      </c>
      <c r="AE94">
        <f t="shared" si="41"/>
        <v>0.14349999999999999</v>
      </c>
      <c r="AF94">
        <f t="shared" si="42"/>
        <v>7.3999999999999982E-2</v>
      </c>
      <c r="AG94">
        <f t="shared" si="43"/>
        <v>363.49999999999994</v>
      </c>
      <c r="AH94">
        <f t="shared" si="44"/>
        <v>0.36349999999999993</v>
      </c>
    </row>
    <row r="95" spans="3:34" x14ac:dyDescent="0.25">
      <c r="D95" s="163"/>
      <c r="E95" s="11">
        <v>2</v>
      </c>
      <c r="F95">
        <f t="shared" si="46"/>
        <v>0.66349999999999998</v>
      </c>
      <c r="G95">
        <f t="shared" si="47"/>
        <v>0.5</v>
      </c>
      <c r="H95">
        <f t="shared" si="48"/>
        <v>0.50064999999999982</v>
      </c>
      <c r="I95">
        <f t="shared" si="49"/>
        <v>3.1670141224792969</v>
      </c>
      <c r="J95">
        <v>0.38349999999999995</v>
      </c>
      <c r="K95">
        <f t="shared" si="50"/>
        <v>8.258185456269354</v>
      </c>
      <c r="M95">
        <f t="shared" si="51"/>
        <v>116.16866200484601</v>
      </c>
      <c r="AC95" s="163"/>
      <c r="AD95" s="11">
        <v>6</v>
      </c>
      <c r="AE95">
        <f t="shared" si="41"/>
        <v>0.14549999999999999</v>
      </c>
      <c r="AF95">
        <f t="shared" si="42"/>
        <v>7.5999999999999984E-2</v>
      </c>
      <c r="AG95">
        <f t="shared" si="43"/>
        <v>373.49999999999994</v>
      </c>
      <c r="AH95">
        <f t="shared" si="44"/>
        <v>0.37349999999999994</v>
      </c>
    </row>
    <row r="96" spans="3:34" x14ac:dyDescent="0.25">
      <c r="D96" s="163"/>
      <c r="E96" s="11">
        <v>3</v>
      </c>
      <c r="F96">
        <f t="shared" si="46"/>
        <v>0.66200000000000003</v>
      </c>
      <c r="G96">
        <f t="shared" si="47"/>
        <v>0.49850000000000005</v>
      </c>
      <c r="H96">
        <f t="shared" si="48"/>
        <v>0.50700024999999949</v>
      </c>
      <c r="I96">
        <f t="shared" si="49"/>
        <v>3.2136623885725588</v>
      </c>
      <c r="J96">
        <v>0.39849999999999997</v>
      </c>
      <c r="K96">
        <f t="shared" si="50"/>
        <v>8.0643974619135737</v>
      </c>
      <c r="M96">
        <f t="shared" si="51"/>
        <v>113.44262828519601</v>
      </c>
      <c r="AC96" s="163" t="s">
        <v>209</v>
      </c>
      <c r="AD96" s="11">
        <v>1</v>
      </c>
      <c r="AE96">
        <f>AVERAGE(AK71:AL71)</f>
        <v>0.152</v>
      </c>
      <c r="AF96">
        <f t="shared" si="42"/>
        <v>8.249999999999999E-2</v>
      </c>
      <c r="AG96">
        <f t="shared" si="43"/>
        <v>405.99999999999994</v>
      </c>
      <c r="AH96">
        <f t="shared" si="44"/>
        <v>0.40599999999999992</v>
      </c>
    </row>
    <row r="97" spans="2:34" ht="15" customHeight="1" x14ac:dyDescent="0.25">
      <c r="D97" s="163"/>
      <c r="E97" s="11">
        <v>4</v>
      </c>
      <c r="F97">
        <f t="shared" si="46"/>
        <v>0.6905</v>
      </c>
      <c r="G97">
        <f t="shared" si="47"/>
        <v>0.52700000000000002</v>
      </c>
      <c r="H97">
        <f t="shared" si="48"/>
        <v>0.38634549999999956</v>
      </c>
      <c r="I97">
        <f t="shared" si="49"/>
        <v>2.4341397021733355</v>
      </c>
      <c r="J97">
        <v>0.28349999999999992</v>
      </c>
      <c r="K97">
        <f t="shared" si="50"/>
        <v>8.5860306954967776</v>
      </c>
      <c r="M97">
        <f t="shared" si="51"/>
        <v>120.78049144212213</v>
      </c>
      <c r="AC97" s="163"/>
      <c r="AD97" s="11">
        <v>2</v>
      </c>
      <c r="AE97">
        <f>AVERAGE(AK72:AL72)</f>
        <v>0.155</v>
      </c>
      <c r="AF97">
        <f t="shared" si="42"/>
        <v>8.5499999999999993E-2</v>
      </c>
      <c r="AG97">
        <f t="shared" si="43"/>
        <v>420.99999999999994</v>
      </c>
      <c r="AH97">
        <f t="shared" si="44"/>
        <v>0.42099999999999993</v>
      </c>
    </row>
    <row r="98" spans="2:34" x14ac:dyDescent="0.25">
      <c r="D98" s="163"/>
      <c r="E98" s="11">
        <v>5</v>
      </c>
      <c r="F98">
        <f t="shared" si="46"/>
        <v>0.69300000000000006</v>
      </c>
      <c r="G98">
        <f t="shared" si="47"/>
        <v>0.52950000000000008</v>
      </c>
      <c r="H98">
        <f t="shared" si="48"/>
        <v>0.37576174999999967</v>
      </c>
      <c r="I98">
        <f t="shared" si="49"/>
        <v>2.3755367312686624</v>
      </c>
      <c r="J98">
        <v>0.36349999999999993</v>
      </c>
      <c r="K98">
        <f t="shared" si="50"/>
        <v>6.5351767022521674</v>
      </c>
      <c r="M98">
        <f t="shared" si="51"/>
        <v>91.930937793305262</v>
      </c>
      <c r="AC98" s="163"/>
      <c r="AD98" s="11">
        <v>3</v>
      </c>
      <c r="AE98">
        <f>AVERAGE(AK74:AL74)</f>
        <v>0.156</v>
      </c>
      <c r="AF98">
        <f t="shared" si="42"/>
        <v>8.6499999999999994E-2</v>
      </c>
      <c r="AG98">
        <f t="shared" si="43"/>
        <v>425.99999999999994</v>
      </c>
      <c r="AH98">
        <f t="shared" si="44"/>
        <v>0.42599999999999993</v>
      </c>
    </row>
    <row r="99" spans="2:34" x14ac:dyDescent="0.25">
      <c r="D99" s="163"/>
      <c r="E99" s="11">
        <v>6</v>
      </c>
      <c r="F99">
        <f t="shared" si="46"/>
        <v>0.70199999999999996</v>
      </c>
      <c r="G99">
        <f t="shared" si="47"/>
        <v>0.53849999999999998</v>
      </c>
      <c r="H99">
        <f t="shared" si="48"/>
        <v>0.33766024999999988</v>
      </c>
      <c r="I99">
        <f t="shared" si="49"/>
        <v>2.1760068090474647</v>
      </c>
      <c r="J99">
        <v>0.37349999999999994</v>
      </c>
      <c r="K99">
        <f t="shared" si="50"/>
        <v>5.8259887792435476</v>
      </c>
      <c r="M99">
        <f t="shared" si="51"/>
        <v>81.954725396263157</v>
      </c>
      <c r="AC99" s="163"/>
      <c r="AD99" s="11">
        <v>4</v>
      </c>
      <c r="AE99">
        <f>AVERAGE(AK75:AL75)</f>
        <v>0.14949999999999999</v>
      </c>
      <c r="AF99">
        <f t="shared" si="42"/>
        <v>7.9999999999999988E-2</v>
      </c>
      <c r="AG99">
        <f t="shared" si="43"/>
        <v>393.49999999999994</v>
      </c>
      <c r="AH99">
        <f t="shared" si="44"/>
        <v>0.39349999999999996</v>
      </c>
    </row>
    <row r="100" spans="2:34" ht="15" customHeight="1" x14ac:dyDescent="0.25">
      <c r="D100" s="163" t="s">
        <v>209</v>
      </c>
      <c r="E100" s="11">
        <v>1</v>
      </c>
      <c r="F100">
        <f>AVERAGE(M71)</f>
        <v>0.63200000000000001</v>
      </c>
      <c r="G100">
        <f t="shared" si="35"/>
        <v>0.46850000000000003</v>
      </c>
      <c r="H100">
        <f t="shared" si="36"/>
        <v>0.63400524999999974</v>
      </c>
      <c r="I100">
        <f t="shared" si="37"/>
        <v>4.305318149749839</v>
      </c>
      <c r="J100">
        <v>0.40599999999999992</v>
      </c>
      <c r="K100">
        <f t="shared" si="39"/>
        <v>10.604231895935566</v>
      </c>
      <c r="M100">
        <f t="shared" si="38"/>
        <v>149.17071522107102</v>
      </c>
    </row>
    <row r="101" spans="2:34" x14ac:dyDescent="0.25">
      <c r="D101" s="163"/>
      <c r="E101" s="11">
        <v>2</v>
      </c>
      <c r="F101">
        <f>AVERAGE(M72)</f>
        <v>0.65500000000000003</v>
      </c>
      <c r="G101">
        <f t="shared" si="35"/>
        <v>0.49150000000000005</v>
      </c>
      <c r="H101">
        <f t="shared" si="36"/>
        <v>0.53663474999999972</v>
      </c>
      <c r="I101">
        <f t="shared" si="37"/>
        <v>3.44060447605762</v>
      </c>
      <c r="J101">
        <v>0.42099999999999993</v>
      </c>
      <c r="K101">
        <f t="shared" si="39"/>
        <v>8.1724571877853212</v>
      </c>
      <c r="M101">
        <f t="shared" si="38"/>
        <v>114.9627144878619</v>
      </c>
    </row>
    <row r="102" spans="2:34" x14ac:dyDescent="0.25">
      <c r="D102" s="163"/>
      <c r="E102" s="11">
        <v>3</v>
      </c>
      <c r="F102">
        <f>AVERAGE(M74)</f>
        <v>0.64400000000000002</v>
      </c>
      <c r="G102">
        <f t="shared" si="35"/>
        <v>0.48050000000000004</v>
      </c>
      <c r="H102">
        <f t="shared" si="36"/>
        <v>0.58320324999999951</v>
      </c>
      <c r="I102">
        <f t="shared" si="37"/>
        <v>3.8300394738805821</v>
      </c>
      <c r="J102">
        <v>0.42599999999999993</v>
      </c>
      <c r="K102">
        <f t="shared" si="39"/>
        <v>8.9907029903300071</v>
      </c>
      <c r="M102">
        <f t="shared" si="38"/>
        <v>126.4730542078951</v>
      </c>
    </row>
    <row r="103" spans="2:34" x14ac:dyDescent="0.25">
      <c r="D103" s="163"/>
      <c r="E103" s="11">
        <v>4</v>
      </c>
      <c r="F103">
        <f>AVERAGE(M75)</f>
        <v>0.65800000000000003</v>
      </c>
      <c r="G103">
        <f t="shared" si="35"/>
        <v>0.49450000000000005</v>
      </c>
      <c r="H103">
        <f t="shared" si="36"/>
        <v>0.52393424999999949</v>
      </c>
      <c r="I103">
        <f t="shared" si="37"/>
        <v>3.341444484078552</v>
      </c>
      <c r="J103">
        <v>0.39349999999999996</v>
      </c>
      <c r="K103">
        <f t="shared" si="39"/>
        <v>8.491599705409282</v>
      </c>
      <c r="M103">
        <f t="shared" si="38"/>
        <v>119.45212193185286</v>
      </c>
    </row>
    <row r="104" spans="2:34" x14ac:dyDescent="0.25">
      <c r="D104" s="41"/>
    </row>
    <row r="108" spans="2:34" x14ac:dyDescent="0.25">
      <c r="B108" t="s">
        <v>116</v>
      </c>
    </row>
    <row r="109" spans="2:34" x14ac:dyDescent="0.25">
      <c r="B109" t="s">
        <v>31</v>
      </c>
      <c r="Y109" t="s">
        <v>116</v>
      </c>
    </row>
    <row r="110" spans="2:34" x14ac:dyDescent="0.25">
      <c r="B110" t="s">
        <v>210</v>
      </c>
      <c r="Y110" t="s">
        <v>31</v>
      </c>
    </row>
    <row r="111" spans="2:34" x14ac:dyDescent="0.25">
      <c r="B111" t="s">
        <v>141</v>
      </c>
      <c r="Y111" t="s">
        <v>211</v>
      </c>
    </row>
    <row r="112" spans="2:34" x14ac:dyDescent="0.25">
      <c r="B112" t="s">
        <v>142</v>
      </c>
      <c r="Y112" t="s">
        <v>120</v>
      </c>
    </row>
    <row r="113" spans="2:41" x14ac:dyDescent="0.25">
      <c r="B113" t="s">
        <v>212</v>
      </c>
      <c r="Y113" t="s">
        <v>142</v>
      </c>
    </row>
    <row r="114" spans="2:41" x14ac:dyDescent="0.25">
      <c r="B114" t="s">
        <v>125</v>
      </c>
      <c r="E114" t="s">
        <v>126</v>
      </c>
      <c r="Y114" t="s">
        <v>213</v>
      </c>
    </row>
    <row r="115" spans="2:41" x14ac:dyDescent="0.25">
      <c r="Y115" t="s">
        <v>125</v>
      </c>
      <c r="AB115" t="s">
        <v>126</v>
      </c>
    </row>
    <row r="116" spans="2:41" x14ac:dyDescent="0.25">
      <c r="Q116" s="1" t="s">
        <v>145</v>
      </c>
      <c r="R116" s="1" t="s">
        <v>146</v>
      </c>
      <c r="S116" s="1" t="s">
        <v>147</v>
      </c>
      <c r="T116" s="1" t="s">
        <v>148</v>
      </c>
    </row>
    <row r="117" spans="2:41" x14ac:dyDescent="0.25">
      <c r="P117" t="s">
        <v>149</v>
      </c>
      <c r="Q117" s="24">
        <f>AVERAGE(C120:C121)</f>
        <v>0.157</v>
      </c>
    </row>
    <row r="118" spans="2:41" x14ac:dyDescent="0.25">
      <c r="C118" t="s">
        <v>150</v>
      </c>
      <c r="P118" s="24" t="s">
        <v>151</v>
      </c>
      <c r="Q118" s="24">
        <f>AVERAGE(C122:C123)-Q117</f>
        <v>0.22900000000000001</v>
      </c>
      <c r="R118">
        <f>Q118-$Q$119</f>
        <v>0.22650000000000001</v>
      </c>
      <c r="S118" s="24"/>
      <c r="T118" s="24"/>
    </row>
    <row r="119" spans="2:41" x14ac:dyDescent="0.25">
      <c r="C119" s="11">
        <v>1</v>
      </c>
      <c r="D119" s="11">
        <v>2</v>
      </c>
      <c r="E119" s="11">
        <v>3</v>
      </c>
      <c r="F119" s="11">
        <v>4</v>
      </c>
      <c r="G119" s="11">
        <v>5</v>
      </c>
      <c r="H119" s="11">
        <v>6</v>
      </c>
      <c r="I119" s="11">
        <v>7</v>
      </c>
      <c r="J119" s="11">
        <v>8</v>
      </c>
      <c r="K119" s="11">
        <v>9</v>
      </c>
      <c r="L119" s="11">
        <v>10</v>
      </c>
      <c r="M119" s="11">
        <v>11</v>
      </c>
      <c r="N119" s="11">
        <v>12</v>
      </c>
      <c r="P119" s="24" t="s">
        <v>152</v>
      </c>
      <c r="Q119" s="24">
        <f>AVERAGE(C124:C125)-Q117</f>
        <v>2.5000000000000022E-3</v>
      </c>
      <c r="R119">
        <f t="shared" ref="R119:R125" si="52">Q119-$Q$119</f>
        <v>0</v>
      </c>
      <c r="S119" s="24"/>
      <c r="T119" s="24"/>
      <c r="Z119" t="s">
        <v>128</v>
      </c>
    </row>
    <row r="120" spans="2:41" x14ac:dyDescent="0.25">
      <c r="B120" s="11" t="s">
        <v>38</v>
      </c>
      <c r="C120" s="12">
        <v>0.157</v>
      </c>
      <c r="D120" s="13">
        <v>0.247</v>
      </c>
      <c r="E120" s="13">
        <v>0.26200000000000001</v>
      </c>
      <c r="F120" s="13">
        <v>0.747</v>
      </c>
      <c r="G120" s="13">
        <v>0.75600000000000001</v>
      </c>
      <c r="H120" s="13">
        <v>0.72499999999999998</v>
      </c>
      <c r="I120" s="13">
        <v>0.70899999999999996</v>
      </c>
      <c r="J120" s="13">
        <v>0.72699999999999998</v>
      </c>
      <c r="K120" s="13">
        <v>0.68300000000000005</v>
      </c>
      <c r="L120" s="13">
        <v>0.71099999999999997</v>
      </c>
      <c r="M120" s="13">
        <v>0.71199999999999997</v>
      </c>
      <c r="N120" s="14"/>
      <c r="P120" s="24" t="s">
        <v>153</v>
      </c>
      <c r="Q120" s="24">
        <f>AVERAGE(C126:C127)-Q117</f>
        <v>0.74350000000000005</v>
      </c>
      <c r="R120">
        <f t="shared" si="52"/>
        <v>0.7410000000000001</v>
      </c>
      <c r="S120" s="24"/>
      <c r="T120" s="24"/>
      <c r="Z120" s="11">
        <v>1</v>
      </c>
      <c r="AA120" s="11">
        <v>2</v>
      </c>
      <c r="AB120" s="11">
        <v>3</v>
      </c>
      <c r="AC120" s="11">
        <v>4</v>
      </c>
      <c r="AD120" s="11">
        <v>5</v>
      </c>
      <c r="AE120" s="11">
        <v>6</v>
      </c>
      <c r="AF120" s="11">
        <v>7</v>
      </c>
      <c r="AG120" s="11">
        <v>8</v>
      </c>
      <c r="AH120" s="11">
        <v>9</v>
      </c>
      <c r="AI120" s="11">
        <v>10</v>
      </c>
      <c r="AJ120" s="11">
        <v>11</v>
      </c>
      <c r="AK120" s="11">
        <v>12</v>
      </c>
    </row>
    <row r="121" spans="2:41" x14ac:dyDescent="0.25">
      <c r="B121" s="11" t="s">
        <v>40</v>
      </c>
      <c r="C121" s="15">
        <v>0.157</v>
      </c>
      <c r="D121" s="16">
        <v>0.38500000000000001</v>
      </c>
      <c r="E121" s="16">
        <v>0.38900000000000001</v>
      </c>
      <c r="F121" s="16">
        <v>0.72299999999999998</v>
      </c>
      <c r="G121" s="16">
        <v>0.73599999999999999</v>
      </c>
      <c r="H121" s="16">
        <v>0.69799999999999995</v>
      </c>
      <c r="I121" s="16">
        <v>0.69199999999999995</v>
      </c>
      <c r="J121" s="16">
        <v>0.65</v>
      </c>
      <c r="K121" s="16">
        <v>0.66600000000000004</v>
      </c>
      <c r="L121" s="16">
        <v>0.70399999999999996</v>
      </c>
      <c r="M121" s="16">
        <v>0.71599999999999997</v>
      </c>
      <c r="N121" s="17"/>
      <c r="P121" s="24" t="s">
        <v>154</v>
      </c>
      <c r="Q121" s="24">
        <f>AVERAGE(D120:E120)</f>
        <v>0.2545</v>
      </c>
      <c r="R121">
        <f t="shared" si="52"/>
        <v>0.252</v>
      </c>
      <c r="S121" s="24">
        <f>(R121/$R$120)*100</f>
        <v>34.008097165991899</v>
      </c>
      <c r="T121" s="24">
        <f>LOG(U121)</f>
        <v>2.3010299956639813</v>
      </c>
      <c r="U121">
        <v>200</v>
      </c>
      <c r="Y121" s="11" t="s">
        <v>38</v>
      </c>
      <c r="Z121" s="12">
        <v>0.68</v>
      </c>
      <c r="AA121" s="13">
        <v>0.66300000000000003</v>
      </c>
      <c r="AB121" s="13">
        <v>0.16600000000000001</v>
      </c>
      <c r="AC121" s="13">
        <v>0.16300000000000001</v>
      </c>
      <c r="AD121" s="13">
        <v>0.17399999999999999</v>
      </c>
      <c r="AE121" s="13">
        <v>0.16400000000000001</v>
      </c>
      <c r="AF121" s="13">
        <v>0.16400000000000001</v>
      </c>
      <c r="AG121" s="13">
        <v>0.161</v>
      </c>
      <c r="AH121" s="13">
        <v>0.187</v>
      </c>
      <c r="AI121" s="13">
        <v>0.17699999999999999</v>
      </c>
      <c r="AJ121" s="13"/>
      <c r="AK121" s="14"/>
      <c r="AM121">
        <v>2000</v>
      </c>
      <c r="AN121">
        <f>AVERAGE(Z121:AA121)</f>
        <v>0.67149999999999999</v>
      </c>
      <c r="AO121">
        <f>AN121-0.0705</f>
        <v>0.60099999999999998</v>
      </c>
    </row>
    <row r="122" spans="2:41" x14ac:dyDescent="0.25">
      <c r="B122" s="11" t="s">
        <v>41</v>
      </c>
      <c r="C122" s="15">
        <v>0.39500000000000002</v>
      </c>
      <c r="D122" s="16">
        <v>0.58299999999999996</v>
      </c>
      <c r="E122" s="16">
        <v>0.58699999999999997</v>
      </c>
      <c r="F122" s="16">
        <v>0.71399999999999997</v>
      </c>
      <c r="G122" s="16">
        <v>0.70799999999999996</v>
      </c>
      <c r="H122" s="16">
        <v>0.71699999999999997</v>
      </c>
      <c r="I122" s="16">
        <v>0.72</v>
      </c>
      <c r="J122" s="16">
        <v>0.71599999999999997</v>
      </c>
      <c r="K122" s="16">
        <v>0.72</v>
      </c>
      <c r="L122" s="16">
        <v>0.69199999999999995</v>
      </c>
      <c r="M122" s="16">
        <v>0.69499999999999995</v>
      </c>
      <c r="N122" s="17"/>
      <c r="P122" s="24" t="s">
        <v>155</v>
      </c>
      <c r="Q122" s="24">
        <f>AVERAGE(D121:E121)</f>
        <v>0.38700000000000001</v>
      </c>
      <c r="R122">
        <f t="shared" si="52"/>
        <v>0.38450000000000001</v>
      </c>
      <c r="S122" s="24">
        <f t="shared" ref="S122:S125" si="53">(R122/$R$120)*100</f>
        <v>51.889338731443992</v>
      </c>
      <c r="T122" s="24">
        <f>LOG(U122)</f>
        <v>1.6989700043360187</v>
      </c>
      <c r="U122">
        <v>50</v>
      </c>
      <c r="Y122" s="11" t="s">
        <v>40</v>
      </c>
      <c r="Z122" s="15">
        <v>0.42699999999999999</v>
      </c>
      <c r="AA122" s="16">
        <v>0.39900000000000002</v>
      </c>
      <c r="AB122" s="16">
        <v>0.16500000000000001</v>
      </c>
      <c r="AC122" s="16">
        <v>0.161</v>
      </c>
      <c r="AD122" s="16">
        <v>0.16400000000000001</v>
      </c>
      <c r="AE122" s="16">
        <v>0.157</v>
      </c>
      <c r="AF122" s="16">
        <v>0.16300000000000001</v>
      </c>
      <c r="AG122" s="16">
        <v>0.16400000000000001</v>
      </c>
      <c r="AH122" s="16">
        <v>0.183</v>
      </c>
      <c r="AI122" s="16">
        <v>0.184</v>
      </c>
      <c r="AJ122" s="16"/>
      <c r="AK122" s="17"/>
      <c r="AM122">
        <f>AM121/2</f>
        <v>1000</v>
      </c>
      <c r="AN122">
        <f t="shared" ref="AN122:AN128" si="54">AVERAGE(Z122:AA122)</f>
        <v>0.41300000000000003</v>
      </c>
      <c r="AO122">
        <f t="shared" ref="AO122:AO128" si="55">AN122-0.0705</f>
        <v>0.34250000000000003</v>
      </c>
    </row>
    <row r="123" spans="2:41" x14ac:dyDescent="0.25">
      <c r="B123" s="11" t="s">
        <v>42</v>
      </c>
      <c r="C123" s="15">
        <v>0.377</v>
      </c>
      <c r="D123" s="16">
        <v>0.77300000000000002</v>
      </c>
      <c r="E123" s="16">
        <v>0.73699999999999999</v>
      </c>
      <c r="F123" s="16">
        <v>0.69899999999999995</v>
      </c>
      <c r="G123" s="16">
        <v>0.68600000000000005</v>
      </c>
      <c r="H123" s="16">
        <v>0.66200000000000003</v>
      </c>
      <c r="I123" s="16">
        <v>0.68100000000000005</v>
      </c>
      <c r="J123" s="16">
        <v>0.66400000000000003</v>
      </c>
      <c r="K123" s="16">
        <v>0.68600000000000005</v>
      </c>
      <c r="L123" s="16">
        <v>0.69699999999999995</v>
      </c>
      <c r="M123" s="16">
        <v>0.69</v>
      </c>
      <c r="N123" s="17"/>
      <c r="P123" s="24" t="s">
        <v>156</v>
      </c>
      <c r="Q123" s="24">
        <f t="shared" ref="Q123:Q125" si="56">AVERAGE(D122:E122)</f>
        <v>0.58499999999999996</v>
      </c>
      <c r="R123">
        <f t="shared" si="52"/>
        <v>0.58250000000000002</v>
      </c>
      <c r="S123" s="24">
        <f t="shared" si="53"/>
        <v>78.609986504723338</v>
      </c>
      <c r="T123" s="24">
        <f t="shared" ref="T123:T125" si="57">LOG(U123)</f>
        <v>1.0969100130080565</v>
      </c>
      <c r="U123">
        <v>12.5</v>
      </c>
      <c r="Y123" s="11" t="s">
        <v>41</v>
      </c>
      <c r="Z123" s="15">
        <v>0.24099999999999999</v>
      </c>
      <c r="AA123" s="16">
        <v>0.245</v>
      </c>
      <c r="AB123" s="16">
        <v>0.17799999999999999</v>
      </c>
      <c r="AC123" s="16">
        <v>0.16600000000000001</v>
      </c>
      <c r="AD123" s="16">
        <v>0.17100000000000001</v>
      </c>
      <c r="AE123" s="16">
        <v>0.17100000000000001</v>
      </c>
      <c r="AF123" s="16">
        <v>0.16400000000000001</v>
      </c>
      <c r="AG123" s="16">
        <v>0.183</v>
      </c>
      <c r="AH123" s="16">
        <v>0.182</v>
      </c>
      <c r="AI123" s="16">
        <v>0.17799999999999999</v>
      </c>
      <c r="AJ123" s="16"/>
      <c r="AK123" s="17"/>
      <c r="AM123">
        <f t="shared" ref="AM123:AM127" si="58">AM122/2</f>
        <v>500</v>
      </c>
      <c r="AN123">
        <f t="shared" si="54"/>
        <v>0.24299999999999999</v>
      </c>
      <c r="AO123">
        <f t="shared" si="55"/>
        <v>0.17249999999999999</v>
      </c>
    </row>
    <row r="124" spans="2:41" x14ac:dyDescent="0.25">
      <c r="B124" s="11" t="s">
        <v>43</v>
      </c>
      <c r="C124" s="15">
        <v>0.16</v>
      </c>
      <c r="D124" s="16">
        <v>0.86</v>
      </c>
      <c r="E124" s="16">
        <v>0.87</v>
      </c>
      <c r="F124" s="16">
        <v>0.71099999999999997</v>
      </c>
      <c r="G124" s="16">
        <v>0.70599999999999996</v>
      </c>
      <c r="H124" s="16">
        <v>0.68100000000000005</v>
      </c>
      <c r="I124" s="16">
        <v>0.67300000000000004</v>
      </c>
      <c r="J124" s="16">
        <v>0.66800000000000004</v>
      </c>
      <c r="K124" s="16">
        <v>0.69199999999999995</v>
      </c>
      <c r="L124" s="16">
        <v>0.70799999999999996</v>
      </c>
      <c r="M124" s="16">
        <v>0.71</v>
      </c>
      <c r="N124" s="17"/>
      <c r="P124" s="24" t="s">
        <v>157</v>
      </c>
      <c r="Q124" s="24">
        <f t="shared" si="56"/>
        <v>0.755</v>
      </c>
      <c r="R124">
        <f t="shared" si="52"/>
        <v>0.75249999999999995</v>
      </c>
      <c r="S124" s="24">
        <f t="shared" si="53"/>
        <v>101.55195681511469</v>
      </c>
      <c r="T124" s="24">
        <f t="shared" si="57"/>
        <v>0.49485002168009401</v>
      </c>
      <c r="U124">
        <v>3.125</v>
      </c>
      <c r="Y124" s="11" t="s">
        <v>42</v>
      </c>
      <c r="Z124" s="15">
        <v>0.16700000000000001</v>
      </c>
      <c r="AA124" s="16">
        <v>0.17</v>
      </c>
      <c r="AB124" s="16">
        <v>0.17</v>
      </c>
      <c r="AC124" s="16">
        <v>0.17</v>
      </c>
      <c r="AD124" s="16">
        <v>0.17899999999999999</v>
      </c>
      <c r="AE124" s="16">
        <v>0.17100000000000001</v>
      </c>
      <c r="AF124" s="16">
        <v>0.18</v>
      </c>
      <c r="AG124" s="16">
        <v>0.17599999999999999</v>
      </c>
      <c r="AH124" s="16">
        <v>0.19</v>
      </c>
      <c r="AI124" s="16">
        <v>0.182</v>
      </c>
      <c r="AJ124" s="16"/>
      <c r="AK124" s="17"/>
      <c r="AM124">
        <f t="shared" si="58"/>
        <v>250</v>
      </c>
      <c r="AN124">
        <f t="shared" si="54"/>
        <v>0.16850000000000001</v>
      </c>
      <c r="AO124">
        <f t="shared" si="55"/>
        <v>9.8000000000000018E-2</v>
      </c>
    </row>
    <row r="125" spans="2:41" x14ac:dyDescent="0.25">
      <c r="B125" s="11" t="s">
        <v>44</v>
      </c>
      <c r="C125" s="15">
        <v>0.159</v>
      </c>
      <c r="D125" s="16"/>
      <c r="E125" s="16"/>
      <c r="F125" s="16">
        <v>0.70699999999999996</v>
      </c>
      <c r="G125" s="16">
        <v>0.70399999999999996</v>
      </c>
      <c r="H125" s="16">
        <v>0.66600000000000004</v>
      </c>
      <c r="I125" s="16">
        <v>0.65500000000000003</v>
      </c>
      <c r="J125" s="16">
        <v>0.70199999999999996</v>
      </c>
      <c r="K125" s="16">
        <v>0.67500000000000004</v>
      </c>
      <c r="L125" s="16">
        <v>0.68700000000000006</v>
      </c>
      <c r="M125" s="16">
        <v>0.70199999999999996</v>
      </c>
      <c r="N125" s="17"/>
      <c r="P125" s="24" t="s">
        <v>158</v>
      </c>
      <c r="Q125" s="24">
        <f t="shared" si="56"/>
        <v>0.86499999999999999</v>
      </c>
      <c r="R125">
        <f t="shared" si="52"/>
        <v>0.86250000000000004</v>
      </c>
      <c r="S125" s="24">
        <f t="shared" si="53"/>
        <v>116.39676113360322</v>
      </c>
      <c r="T125" s="24">
        <f t="shared" si="57"/>
        <v>-0.10734896612269966</v>
      </c>
      <c r="U125">
        <v>0.78100000000000003</v>
      </c>
      <c r="Y125" s="11" t="s">
        <v>43</v>
      </c>
      <c r="Z125" s="15">
        <v>0.127</v>
      </c>
      <c r="AA125" s="16">
        <v>0.123</v>
      </c>
      <c r="AB125" s="16">
        <v>0.185</v>
      </c>
      <c r="AC125" s="16">
        <v>0.183</v>
      </c>
      <c r="AD125" s="16">
        <v>0.17100000000000001</v>
      </c>
      <c r="AE125" s="16">
        <v>0.17699999999999999</v>
      </c>
      <c r="AF125" s="16">
        <v>0.17399999999999999</v>
      </c>
      <c r="AG125" s="16">
        <v>0.18</v>
      </c>
      <c r="AH125" s="16">
        <v>0.182</v>
      </c>
      <c r="AI125" s="16">
        <v>0.17299999999999999</v>
      </c>
      <c r="AJ125" s="16"/>
      <c r="AK125" s="17"/>
      <c r="AM125">
        <f t="shared" si="58"/>
        <v>125</v>
      </c>
      <c r="AN125">
        <f t="shared" si="54"/>
        <v>0.125</v>
      </c>
      <c r="AO125">
        <f t="shared" si="55"/>
        <v>5.4500000000000007E-2</v>
      </c>
    </row>
    <row r="126" spans="2:41" x14ac:dyDescent="0.25">
      <c r="B126" s="11" t="s">
        <v>45</v>
      </c>
      <c r="C126" s="15">
        <v>0.89900000000000002</v>
      </c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7"/>
      <c r="Y126" s="11" t="s">
        <v>44</v>
      </c>
      <c r="Z126" s="15">
        <v>0.1</v>
      </c>
      <c r="AA126" s="16">
        <v>9.9000000000000005E-2</v>
      </c>
      <c r="AB126" s="16">
        <v>0.17799999999999999</v>
      </c>
      <c r="AC126" s="16">
        <v>0.17599999999999999</v>
      </c>
      <c r="AD126" s="16">
        <v>0.193</v>
      </c>
      <c r="AE126" s="16">
        <v>0.19700000000000001</v>
      </c>
      <c r="AF126" s="16">
        <v>0.17399999999999999</v>
      </c>
      <c r="AG126" s="16">
        <v>0.19700000000000001</v>
      </c>
      <c r="AH126" s="16">
        <v>0.155</v>
      </c>
      <c r="AI126" s="16">
        <v>0.16700000000000001</v>
      </c>
      <c r="AJ126" s="16"/>
      <c r="AK126" s="17"/>
      <c r="AM126">
        <f t="shared" si="58"/>
        <v>62.5</v>
      </c>
      <c r="AN126">
        <f t="shared" si="54"/>
        <v>9.9500000000000005E-2</v>
      </c>
      <c r="AO126">
        <f t="shared" si="55"/>
        <v>2.9000000000000012E-2</v>
      </c>
    </row>
    <row r="127" spans="2:41" x14ac:dyDescent="0.25">
      <c r="B127" s="11" t="s">
        <v>46</v>
      </c>
      <c r="C127" s="18">
        <v>0.90200000000000002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20"/>
      <c r="Y127" s="11" t="s">
        <v>45</v>
      </c>
      <c r="Z127" s="15">
        <v>8.5000000000000006E-2</v>
      </c>
      <c r="AA127" s="16">
        <v>8.5000000000000006E-2</v>
      </c>
      <c r="AB127" s="16"/>
      <c r="AC127" s="16"/>
      <c r="AD127" s="16"/>
      <c r="AE127" s="16"/>
      <c r="AF127" s="16"/>
      <c r="AG127" s="16"/>
      <c r="AH127" s="16"/>
      <c r="AI127" s="16"/>
      <c r="AJ127" s="16"/>
      <c r="AK127" s="17"/>
      <c r="AM127">
        <f t="shared" si="58"/>
        <v>31.25</v>
      </c>
      <c r="AN127">
        <f t="shared" si="54"/>
        <v>8.5000000000000006E-2</v>
      </c>
      <c r="AO127">
        <f t="shared" si="55"/>
        <v>1.4500000000000013E-2</v>
      </c>
    </row>
    <row r="128" spans="2:41" x14ac:dyDescent="0.25">
      <c r="Y128" s="11" t="s">
        <v>46</v>
      </c>
      <c r="Z128" s="18">
        <v>7.0999999999999994E-2</v>
      </c>
      <c r="AA128" s="19">
        <v>7.0000000000000007E-2</v>
      </c>
      <c r="AB128" s="19"/>
      <c r="AC128" s="19"/>
      <c r="AD128" s="19"/>
      <c r="AE128" s="19"/>
      <c r="AF128" s="19"/>
      <c r="AG128" s="19"/>
      <c r="AH128" s="19"/>
      <c r="AI128" s="19"/>
      <c r="AJ128" s="19"/>
      <c r="AK128" s="20"/>
      <c r="AM128">
        <v>0</v>
      </c>
      <c r="AN128">
        <f t="shared" si="54"/>
        <v>7.0500000000000007E-2</v>
      </c>
      <c r="AO128">
        <f t="shared" si="55"/>
        <v>0</v>
      </c>
    </row>
    <row r="129" spans="3:30" x14ac:dyDescent="0.25">
      <c r="G129" s="1" t="s">
        <v>159</v>
      </c>
      <c r="H129" s="1" t="s">
        <v>160</v>
      </c>
      <c r="I129" s="1" t="s">
        <v>161</v>
      </c>
      <c r="J129" s="1" t="s">
        <v>162</v>
      </c>
      <c r="K129" s="1" t="s">
        <v>6</v>
      </c>
      <c r="L129" s="1" t="s">
        <v>214</v>
      </c>
    </row>
    <row r="130" spans="3:30" x14ac:dyDescent="0.25">
      <c r="C130" s="163" t="s">
        <v>215</v>
      </c>
      <c r="D130" s="11">
        <v>1</v>
      </c>
      <c r="E130">
        <f>AVERAGE(F120)</f>
        <v>0.747</v>
      </c>
      <c r="F130">
        <f>E130-$Q$119</f>
        <v>0.74449999999999994</v>
      </c>
      <c r="G130">
        <f>(-3.5233*F130)+3.1345</f>
        <v>0.51140315000000047</v>
      </c>
      <c r="H130">
        <f>10^G130</f>
        <v>3.2464083744592562</v>
      </c>
      <c r="I130">
        <v>0.26466666666666672</v>
      </c>
      <c r="J130">
        <f>H130/I130</f>
        <v>12.266026603750337</v>
      </c>
      <c r="K130">
        <f>AVERAGE(J130:J135)</f>
        <v>15.067590533918853</v>
      </c>
      <c r="L130" s="26">
        <f>(J130/$K$130)*100</f>
        <v>81.406689252260477</v>
      </c>
      <c r="AA130" s="1" t="s">
        <v>47</v>
      </c>
      <c r="AB130" s="1" t="s">
        <v>48</v>
      </c>
      <c r="AC130" s="1" t="s">
        <v>216</v>
      </c>
      <c r="AD130" s="1" t="s">
        <v>170</v>
      </c>
    </row>
    <row r="131" spans="3:30" x14ac:dyDescent="0.25">
      <c r="C131" s="163"/>
      <c r="D131" s="11">
        <v>2</v>
      </c>
      <c r="E131">
        <f>AVERAGE(F121)</f>
        <v>0.72299999999999998</v>
      </c>
      <c r="F131">
        <f t="shared" ref="F131:F152" si="59">E131-$Q$119</f>
        <v>0.72049999999999992</v>
      </c>
      <c r="G131">
        <f t="shared" ref="G131:G152" si="60">(-3.5233*F131)+3.1345</f>
        <v>0.59596235000000064</v>
      </c>
      <c r="H131">
        <f t="shared" ref="H131:H152" si="61">10^G131</f>
        <v>3.9442310713541011</v>
      </c>
      <c r="I131">
        <v>0.25966666666666677</v>
      </c>
      <c r="J131">
        <f t="shared" ref="J131:J152" si="62">H131/I131</f>
        <v>15.189593342827084</v>
      </c>
      <c r="L131" s="26">
        <f t="shared" ref="L131:L152" si="63">(J131/$K$130)*100</f>
        <v>100.80970350656655</v>
      </c>
      <c r="Y131" s="163" t="s">
        <v>215</v>
      </c>
      <c r="Z131" s="11">
        <v>1</v>
      </c>
      <c r="AA131">
        <f>AVERAGE(AB121:AC121)</f>
        <v>0.16450000000000001</v>
      </c>
      <c r="AB131">
        <f>AA131-0.0705</f>
        <v>9.4000000000000014E-2</v>
      </c>
      <c r="AC131">
        <f>(AB131-0.0146)/0.0003</f>
        <v>264.66666666666674</v>
      </c>
      <c r="AD131">
        <f>AC131/1000</f>
        <v>0.26466666666666672</v>
      </c>
    </row>
    <row r="132" spans="3:30" x14ac:dyDescent="0.25">
      <c r="C132" s="163"/>
      <c r="D132" s="11">
        <v>3</v>
      </c>
      <c r="E132">
        <f>AVERAGE(G122)</f>
        <v>0.70799999999999996</v>
      </c>
      <c r="F132">
        <f t="shared" si="59"/>
        <v>0.70550000000000002</v>
      </c>
      <c r="G132">
        <f t="shared" si="60"/>
        <v>0.64881184999999997</v>
      </c>
      <c r="H132">
        <f t="shared" si="61"/>
        <v>4.4546321794011154</v>
      </c>
      <c r="I132">
        <v>0.28966666666666668</v>
      </c>
      <c r="J132">
        <f t="shared" si="62"/>
        <v>15.378477029002699</v>
      </c>
      <c r="L132" s="26">
        <f t="shared" si="63"/>
        <v>102.06327942336901</v>
      </c>
      <c r="Y132" s="163"/>
      <c r="Z132" s="11">
        <v>2</v>
      </c>
      <c r="AA132">
        <f t="shared" ref="AA132:AA136" si="64">AVERAGE(AB122:AC122)</f>
        <v>0.16300000000000001</v>
      </c>
      <c r="AB132">
        <f t="shared" ref="AB132:AB143" si="65">AA132-0.0705</f>
        <v>9.2500000000000013E-2</v>
      </c>
      <c r="AC132">
        <f t="shared" ref="AC132:AC143" si="66">(AB132-0.0146)/0.0003</f>
        <v>259.66666666666674</v>
      </c>
      <c r="AD132">
        <f t="shared" ref="AD132:AD143" si="67">AC132/1000</f>
        <v>0.25966666666666677</v>
      </c>
    </row>
    <row r="133" spans="3:30" x14ac:dyDescent="0.25">
      <c r="C133" s="163"/>
      <c r="D133" s="11">
        <v>4</v>
      </c>
      <c r="E133">
        <f>AVERAGE(G123)</f>
        <v>0.68600000000000005</v>
      </c>
      <c r="F133">
        <f t="shared" si="59"/>
        <v>0.6835</v>
      </c>
      <c r="G133">
        <f t="shared" si="60"/>
        <v>0.72632445000000034</v>
      </c>
      <c r="H133">
        <f t="shared" si="61"/>
        <v>5.3250593189752262</v>
      </c>
      <c r="I133">
        <v>0.28300000000000003</v>
      </c>
      <c r="J133">
        <f t="shared" si="62"/>
        <v>18.816464024647441</v>
      </c>
      <c r="L133" s="26">
        <f t="shared" si="63"/>
        <v>124.88037806900478</v>
      </c>
      <c r="Y133" s="163"/>
      <c r="Z133" s="11">
        <v>3</v>
      </c>
      <c r="AA133">
        <f t="shared" si="64"/>
        <v>0.17199999999999999</v>
      </c>
      <c r="AB133">
        <f t="shared" si="65"/>
        <v>0.10149999999999999</v>
      </c>
      <c r="AC133">
        <f t="shared" si="66"/>
        <v>289.66666666666669</v>
      </c>
      <c r="AD133">
        <f t="shared" si="67"/>
        <v>0.28966666666666668</v>
      </c>
    </row>
    <row r="134" spans="3:30" x14ac:dyDescent="0.25">
      <c r="C134" s="163"/>
      <c r="D134" s="11">
        <v>5</v>
      </c>
      <c r="E134">
        <f>AVERAGE(G124)</f>
        <v>0.70599999999999996</v>
      </c>
      <c r="F134">
        <f t="shared" si="59"/>
        <v>0.70350000000000001</v>
      </c>
      <c r="G134">
        <f t="shared" si="60"/>
        <v>0.6558584500000002</v>
      </c>
      <c r="H134">
        <f t="shared" si="61"/>
        <v>4.527499906320366</v>
      </c>
      <c r="I134">
        <v>0.32966666666666666</v>
      </c>
      <c r="J134">
        <f t="shared" si="62"/>
        <v>13.733568977715974</v>
      </c>
      <c r="L134" s="26">
        <f t="shared" si="63"/>
        <v>91.146417516457959</v>
      </c>
      <c r="Y134" s="163"/>
      <c r="Z134" s="11">
        <v>4</v>
      </c>
      <c r="AA134">
        <f t="shared" si="64"/>
        <v>0.17</v>
      </c>
      <c r="AB134">
        <f t="shared" si="65"/>
        <v>9.9500000000000019E-2</v>
      </c>
      <c r="AC134">
        <f t="shared" si="66"/>
        <v>283.00000000000006</v>
      </c>
      <c r="AD134">
        <f t="shared" si="67"/>
        <v>0.28300000000000003</v>
      </c>
    </row>
    <row r="135" spans="3:30" x14ac:dyDescent="0.25">
      <c r="C135" s="163"/>
      <c r="D135" s="11">
        <v>6</v>
      </c>
      <c r="E135">
        <f>AVERAGE(G125)</f>
        <v>0.70399999999999996</v>
      </c>
      <c r="F135">
        <f t="shared" si="59"/>
        <v>0.70150000000000001</v>
      </c>
      <c r="G135">
        <f t="shared" si="60"/>
        <v>0.66290505</v>
      </c>
      <c r="H135">
        <f t="shared" si="61"/>
        <v>4.6015595847661448</v>
      </c>
      <c r="I135">
        <v>0.30633333333333335</v>
      </c>
      <c r="J135">
        <f t="shared" si="62"/>
        <v>15.021413225569569</v>
      </c>
      <c r="L135" s="26">
        <f t="shared" si="63"/>
        <v>99.693532232341113</v>
      </c>
      <c r="Y135" s="163"/>
      <c r="Z135" s="11">
        <v>5</v>
      </c>
      <c r="AA135">
        <f t="shared" si="64"/>
        <v>0.184</v>
      </c>
      <c r="AB135">
        <f t="shared" si="65"/>
        <v>0.1135</v>
      </c>
      <c r="AC135">
        <f t="shared" si="66"/>
        <v>329.66666666666669</v>
      </c>
      <c r="AD135">
        <f t="shared" si="67"/>
        <v>0.32966666666666666</v>
      </c>
    </row>
    <row r="136" spans="3:30" x14ac:dyDescent="0.25">
      <c r="C136" s="163" t="s">
        <v>217</v>
      </c>
      <c r="D136" s="11">
        <v>1</v>
      </c>
      <c r="E136">
        <f>AVERAGE(I120)</f>
        <v>0.70899999999999996</v>
      </c>
      <c r="F136">
        <f t="shared" si="59"/>
        <v>0.70649999999999991</v>
      </c>
      <c r="G136">
        <f t="shared" si="60"/>
        <v>0.64528855000000052</v>
      </c>
      <c r="H136">
        <f t="shared" si="61"/>
        <v>4.4186392906970768</v>
      </c>
      <c r="I136">
        <v>0.27966666666666662</v>
      </c>
      <c r="J136">
        <f t="shared" si="62"/>
        <v>15.799663733124234</v>
      </c>
      <c r="L136" s="26">
        <f t="shared" si="63"/>
        <v>104.85859499272563</v>
      </c>
      <c r="Y136" s="163"/>
      <c r="Z136" s="11">
        <v>6</v>
      </c>
      <c r="AA136">
        <f t="shared" si="64"/>
        <v>0.17699999999999999</v>
      </c>
      <c r="AB136">
        <f t="shared" si="65"/>
        <v>0.1065</v>
      </c>
      <c r="AC136">
        <f t="shared" si="66"/>
        <v>306.33333333333337</v>
      </c>
      <c r="AD136">
        <f t="shared" si="67"/>
        <v>0.30633333333333335</v>
      </c>
    </row>
    <row r="137" spans="3:30" x14ac:dyDescent="0.25">
      <c r="C137" s="163"/>
      <c r="D137" s="11">
        <v>2</v>
      </c>
      <c r="E137">
        <f>AVERAGE(H121:I121)</f>
        <v>0.69499999999999995</v>
      </c>
      <c r="F137">
        <f t="shared" si="59"/>
        <v>0.69249999999999989</v>
      </c>
      <c r="G137">
        <f t="shared" si="60"/>
        <v>0.69461475000000039</v>
      </c>
      <c r="H137">
        <f t="shared" si="61"/>
        <v>4.9501088623058331</v>
      </c>
      <c r="I137">
        <v>0.25133333333333335</v>
      </c>
      <c r="J137">
        <f t="shared" si="62"/>
        <v>19.695393351349466</v>
      </c>
      <c r="L137" s="26">
        <f t="shared" si="63"/>
        <v>130.71362210841147</v>
      </c>
      <c r="Y137" s="163" t="s">
        <v>217</v>
      </c>
      <c r="Z137" s="11">
        <v>1</v>
      </c>
      <c r="AA137">
        <f>AVERAGE(AD121:AE121)</f>
        <v>0.16899999999999998</v>
      </c>
      <c r="AB137">
        <f t="shared" si="65"/>
        <v>9.849999999999999E-2</v>
      </c>
      <c r="AC137">
        <f t="shared" si="66"/>
        <v>279.66666666666663</v>
      </c>
      <c r="AD137">
        <f t="shared" si="67"/>
        <v>0.27966666666666662</v>
      </c>
    </row>
    <row r="138" spans="3:30" x14ac:dyDescent="0.25">
      <c r="C138" s="163"/>
      <c r="D138" s="11">
        <v>3</v>
      </c>
      <c r="E138">
        <f>AVERAGE(H122:I122)</f>
        <v>0.71849999999999992</v>
      </c>
      <c r="F138">
        <f t="shared" si="59"/>
        <v>0.71599999999999997</v>
      </c>
      <c r="G138">
        <f t="shared" si="60"/>
        <v>0.61181720000000039</v>
      </c>
      <c r="H138">
        <f t="shared" si="61"/>
        <v>4.0908843302879676</v>
      </c>
      <c r="I138">
        <v>0.28633333333333344</v>
      </c>
      <c r="J138">
        <f t="shared" si="62"/>
        <v>14.287139686686727</v>
      </c>
      <c r="L138" s="26">
        <f t="shared" si="63"/>
        <v>94.820334110651316</v>
      </c>
      <c r="Y138" s="163"/>
      <c r="Z138" s="11">
        <v>2</v>
      </c>
      <c r="AA138">
        <f t="shared" ref="AA138:AA142" si="68">AVERAGE(AD122:AE122)</f>
        <v>0.1605</v>
      </c>
      <c r="AB138">
        <f t="shared" si="65"/>
        <v>9.0000000000000011E-2</v>
      </c>
      <c r="AC138">
        <f t="shared" si="66"/>
        <v>251.33333333333337</v>
      </c>
      <c r="AD138">
        <f t="shared" si="67"/>
        <v>0.25133333333333335</v>
      </c>
    </row>
    <row r="139" spans="3:30" x14ac:dyDescent="0.25">
      <c r="C139" s="163"/>
      <c r="D139" s="11">
        <v>4</v>
      </c>
      <c r="E139">
        <f>AVERAGE(H123:I123)</f>
        <v>0.67149999999999999</v>
      </c>
      <c r="F139">
        <f t="shared" si="59"/>
        <v>0.66900000000000004</v>
      </c>
      <c r="G139">
        <f t="shared" si="60"/>
        <v>0.77741229999999995</v>
      </c>
      <c r="H139">
        <f t="shared" si="61"/>
        <v>5.9897997035163932</v>
      </c>
      <c r="I139">
        <v>0.29966666666666669</v>
      </c>
      <c r="J139">
        <f t="shared" si="62"/>
        <v>19.988208131867829</v>
      </c>
      <c r="L139" s="26">
        <f t="shared" si="63"/>
        <v>132.65696387801427</v>
      </c>
      <c r="Y139" s="163"/>
      <c r="Z139" s="11">
        <v>3</v>
      </c>
      <c r="AA139">
        <f t="shared" si="68"/>
        <v>0.17100000000000001</v>
      </c>
      <c r="AB139">
        <f t="shared" si="65"/>
        <v>0.10050000000000002</v>
      </c>
      <c r="AC139">
        <f t="shared" si="66"/>
        <v>286.33333333333343</v>
      </c>
      <c r="AD139">
        <f t="shared" si="67"/>
        <v>0.28633333333333344</v>
      </c>
    </row>
    <row r="140" spans="3:30" x14ac:dyDescent="0.25">
      <c r="C140" s="163"/>
      <c r="D140" s="11">
        <v>5</v>
      </c>
      <c r="E140">
        <f>AVERAGE(H124:I124)</f>
        <v>0.67700000000000005</v>
      </c>
      <c r="F140">
        <f t="shared" si="59"/>
        <v>0.6745000000000001</v>
      </c>
      <c r="G140">
        <f t="shared" si="60"/>
        <v>0.75803414999999985</v>
      </c>
      <c r="H140">
        <f t="shared" si="61"/>
        <v>5.7284107358794731</v>
      </c>
      <c r="I140">
        <v>0.29633333333333334</v>
      </c>
      <c r="J140">
        <f t="shared" si="62"/>
        <v>19.330969862360426</v>
      </c>
      <c r="L140" s="26">
        <f t="shared" si="63"/>
        <v>128.2950304419557</v>
      </c>
      <c r="Y140" s="163"/>
      <c r="Z140" s="11">
        <v>4</v>
      </c>
      <c r="AA140">
        <f t="shared" si="68"/>
        <v>0.17499999999999999</v>
      </c>
      <c r="AB140">
        <f t="shared" si="65"/>
        <v>0.1045</v>
      </c>
      <c r="AC140">
        <f t="shared" si="66"/>
        <v>299.66666666666669</v>
      </c>
      <c r="AD140">
        <f t="shared" si="67"/>
        <v>0.29966666666666669</v>
      </c>
    </row>
    <row r="141" spans="3:30" x14ac:dyDescent="0.25">
      <c r="C141" s="163"/>
      <c r="D141" s="11">
        <v>6</v>
      </c>
      <c r="E141">
        <f t="shared" ref="E141" si="69">AVERAGE(H125:I125)</f>
        <v>0.66050000000000009</v>
      </c>
      <c r="F141">
        <f t="shared" si="59"/>
        <v>0.65800000000000014</v>
      </c>
      <c r="G141">
        <f t="shared" si="60"/>
        <v>0.81616859999999969</v>
      </c>
      <c r="H141">
        <f t="shared" si="61"/>
        <v>6.5489036354085508</v>
      </c>
      <c r="I141">
        <v>0.36633333333333346</v>
      </c>
      <c r="J141">
        <f t="shared" si="62"/>
        <v>17.876898003844993</v>
      </c>
      <c r="L141" s="26">
        <f t="shared" si="63"/>
        <v>118.64470277183383</v>
      </c>
      <c r="Y141" s="163"/>
      <c r="Z141" s="11">
        <v>5</v>
      </c>
      <c r="AA141">
        <f t="shared" si="68"/>
        <v>0.17399999999999999</v>
      </c>
      <c r="AB141">
        <f t="shared" si="65"/>
        <v>0.10349999999999999</v>
      </c>
      <c r="AC141">
        <f t="shared" si="66"/>
        <v>296.33333333333331</v>
      </c>
      <c r="AD141">
        <f t="shared" si="67"/>
        <v>0.29633333333333334</v>
      </c>
    </row>
    <row r="142" spans="3:30" x14ac:dyDescent="0.25">
      <c r="C142" s="163" t="s">
        <v>218</v>
      </c>
      <c r="D142" s="11">
        <v>1</v>
      </c>
      <c r="E142">
        <f>AVERAGE(J120:K120)</f>
        <v>0.70500000000000007</v>
      </c>
      <c r="F142">
        <f t="shared" si="59"/>
        <v>0.70250000000000012</v>
      </c>
      <c r="G142">
        <f t="shared" si="60"/>
        <v>0.65938174999999966</v>
      </c>
      <c r="H142">
        <f t="shared" si="61"/>
        <v>4.5643795404146941</v>
      </c>
      <c r="I142">
        <v>0.25800000000000006</v>
      </c>
      <c r="J142">
        <f t="shared" si="62"/>
        <v>17.69139356749881</v>
      </c>
      <c r="L142" s="26">
        <f t="shared" si="63"/>
        <v>117.41355412913219</v>
      </c>
      <c r="Y142" s="163"/>
      <c r="Z142" s="11">
        <v>6</v>
      </c>
      <c r="AA142">
        <f t="shared" si="68"/>
        <v>0.19500000000000001</v>
      </c>
      <c r="AB142">
        <f t="shared" si="65"/>
        <v>0.12450000000000001</v>
      </c>
      <c r="AC142">
        <f t="shared" si="66"/>
        <v>366.33333333333343</v>
      </c>
      <c r="AD142">
        <f t="shared" si="67"/>
        <v>0.36633333333333346</v>
      </c>
    </row>
    <row r="143" spans="3:30" x14ac:dyDescent="0.25">
      <c r="C143" s="163"/>
      <c r="D143" s="11">
        <v>2</v>
      </c>
      <c r="E143">
        <f>AVERAGE(J122:K122)</f>
        <v>0.71799999999999997</v>
      </c>
      <c r="F143">
        <f>E143-$Q$119</f>
        <v>0.71550000000000002</v>
      </c>
      <c r="G143">
        <f>(-3.5233*F143)+3.1345</f>
        <v>0.61357885000000012</v>
      </c>
      <c r="H143">
        <f>10^G143</f>
        <v>4.1075120861604999</v>
      </c>
      <c r="I143">
        <v>0.29466666666666669</v>
      </c>
      <c r="J143">
        <f>H143/I143</f>
        <v>13.939520654390837</v>
      </c>
      <c r="L143" s="26">
        <f>(J143/$K$130)*100</f>
        <v>92.513269610103862</v>
      </c>
      <c r="Y143" s="163" t="s">
        <v>218</v>
      </c>
      <c r="Z143" s="11">
        <v>1</v>
      </c>
      <c r="AA143">
        <f>AVERAGE(AF121:AG121)</f>
        <v>0.16250000000000001</v>
      </c>
      <c r="AB143">
        <f t="shared" si="65"/>
        <v>9.2000000000000012E-2</v>
      </c>
      <c r="AC143">
        <f t="shared" si="66"/>
        <v>258.00000000000006</v>
      </c>
      <c r="AD143">
        <f t="shared" si="67"/>
        <v>0.25800000000000006</v>
      </c>
    </row>
    <row r="144" spans="3:30" x14ac:dyDescent="0.25">
      <c r="C144" s="163"/>
      <c r="D144" s="11">
        <v>3</v>
      </c>
      <c r="E144">
        <f>AVERAGE(J123:K123)</f>
        <v>0.67500000000000004</v>
      </c>
      <c r="F144">
        <f>E144-$Q$119</f>
        <v>0.6725000000000001</v>
      </c>
      <c r="G144">
        <f>(-3.5233*F144)+3.1345</f>
        <v>0.76508074999999964</v>
      </c>
      <c r="H144">
        <f>10^G144</f>
        <v>5.8221146046553383</v>
      </c>
      <c r="I144">
        <v>0.3096666666666667</v>
      </c>
      <c r="J144">
        <f>H144/I144</f>
        <v>18.801231231395061</v>
      </c>
      <c r="L144" s="26">
        <f>(J144/$K$130)*100</f>
        <v>124.77928165801532</v>
      </c>
      <c r="Y144" s="163"/>
      <c r="Z144" s="11">
        <v>2</v>
      </c>
      <c r="AA144">
        <f>AVERAGE(AF123:AG123)</f>
        <v>0.17349999999999999</v>
      </c>
      <c r="AB144">
        <f t="shared" ref="AB144:AB153" si="70">AA144-0.0705</f>
        <v>0.10299999999999999</v>
      </c>
      <c r="AC144">
        <f t="shared" ref="AC144:AC153" si="71">(AB144-0.0146)/0.0003</f>
        <v>294.66666666666669</v>
      </c>
      <c r="AD144">
        <f t="shared" ref="AD144:AD153" si="72">AC144/1000</f>
        <v>0.29466666666666669</v>
      </c>
    </row>
    <row r="145" spans="3:30" x14ac:dyDescent="0.25">
      <c r="C145" s="163"/>
      <c r="D145" s="11">
        <v>4</v>
      </c>
      <c r="E145">
        <f>AVERAGE(J124:K124)</f>
        <v>0.67999999999999994</v>
      </c>
      <c r="F145">
        <f>E145-$Q$119</f>
        <v>0.67749999999999999</v>
      </c>
      <c r="G145">
        <f>(-3.5233*F145)+3.1345</f>
        <v>0.74746425000000016</v>
      </c>
      <c r="H145">
        <f>10^G145</f>
        <v>5.5906750468338799</v>
      </c>
      <c r="I145">
        <v>0.30633333333333335</v>
      </c>
      <c r="J145">
        <f>H145/I145</f>
        <v>18.250299391187855</v>
      </c>
      <c r="L145" s="26">
        <f>(J145/$K$130)*100</f>
        <v>121.12287860560296</v>
      </c>
      <c r="Y145" s="163"/>
      <c r="Z145" s="11">
        <v>3</v>
      </c>
      <c r="AA145">
        <f>AVERAGE(AF124:AG124)</f>
        <v>0.17799999999999999</v>
      </c>
      <c r="AB145">
        <f t="shared" si="70"/>
        <v>0.1075</v>
      </c>
      <c r="AC145">
        <f t="shared" si="71"/>
        <v>309.66666666666669</v>
      </c>
      <c r="AD145">
        <f t="shared" si="72"/>
        <v>0.3096666666666667</v>
      </c>
    </row>
    <row r="146" spans="3:30" x14ac:dyDescent="0.25">
      <c r="C146" s="163"/>
      <c r="D146" s="11">
        <v>5</v>
      </c>
      <c r="E146">
        <f>AVERAGE(J125:K125)</f>
        <v>0.6885</v>
      </c>
      <c r="F146">
        <f>E146-$Q$119</f>
        <v>0.68599999999999994</v>
      </c>
      <c r="G146">
        <f>(-3.5233*F146)+3.1345</f>
        <v>0.71751620000000038</v>
      </c>
      <c r="H146">
        <f>10^G146</f>
        <v>5.2181456853961166</v>
      </c>
      <c r="I146">
        <v>0.33466666666666667</v>
      </c>
      <c r="J146">
        <f>H146/I146</f>
        <v>15.592068781064093</v>
      </c>
      <c r="L146" s="26">
        <f>(J146/$K$130)*100</f>
        <v>103.48083687278719</v>
      </c>
      <c r="Y146" s="163"/>
      <c r="Z146" s="11">
        <v>4</v>
      </c>
      <c r="AA146">
        <f>AVERAGE(AF125:AG125)</f>
        <v>0.17699999999999999</v>
      </c>
      <c r="AB146">
        <f t="shared" si="70"/>
        <v>0.1065</v>
      </c>
      <c r="AC146">
        <f t="shared" si="71"/>
        <v>306.33333333333337</v>
      </c>
      <c r="AD146">
        <f t="shared" si="72"/>
        <v>0.30633333333333335</v>
      </c>
    </row>
    <row r="147" spans="3:30" x14ac:dyDescent="0.25">
      <c r="C147" s="163" t="s">
        <v>219</v>
      </c>
      <c r="D147" s="11">
        <v>1</v>
      </c>
      <c r="E147">
        <f>AVERAGE(L120:M120)</f>
        <v>0.71150000000000002</v>
      </c>
      <c r="F147">
        <f t="shared" si="59"/>
        <v>0.70900000000000007</v>
      </c>
      <c r="G147">
        <f t="shared" si="60"/>
        <v>0.63648030000000011</v>
      </c>
      <c r="H147">
        <f t="shared" si="61"/>
        <v>4.3299242635497777</v>
      </c>
      <c r="I147">
        <v>0.32300000000000001</v>
      </c>
      <c r="J147">
        <f t="shared" si="62"/>
        <v>13.405338277243894</v>
      </c>
      <c r="L147" s="26">
        <f t="shared" si="63"/>
        <v>88.968028743991681</v>
      </c>
      <c r="Y147" s="163"/>
      <c r="Z147" s="11">
        <v>5</v>
      </c>
      <c r="AA147">
        <f>AVERAGE(AF126:AG126)</f>
        <v>0.1855</v>
      </c>
      <c r="AB147">
        <f t="shared" si="70"/>
        <v>0.115</v>
      </c>
      <c r="AC147">
        <f t="shared" si="71"/>
        <v>334.66666666666669</v>
      </c>
      <c r="AD147">
        <f t="shared" si="72"/>
        <v>0.33466666666666667</v>
      </c>
    </row>
    <row r="148" spans="3:30" x14ac:dyDescent="0.25">
      <c r="C148" s="163"/>
      <c r="D148" s="11">
        <v>2</v>
      </c>
      <c r="E148">
        <f>AVERAGE(L121:M121)</f>
        <v>0.71</v>
      </c>
      <c r="F148">
        <f t="shared" si="59"/>
        <v>0.70750000000000002</v>
      </c>
      <c r="G148">
        <f t="shared" si="60"/>
        <v>0.64176525000000018</v>
      </c>
      <c r="H148">
        <f t="shared" si="61"/>
        <v>4.3829372201762347</v>
      </c>
      <c r="I148">
        <v>0.32800000000000007</v>
      </c>
      <c r="J148">
        <f t="shared" si="62"/>
        <v>13.362613476147054</v>
      </c>
      <c r="L148" s="26">
        <f t="shared" si="63"/>
        <v>88.684474442455127</v>
      </c>
      <c r="Y148" s="163" t="s">
        <v>219</v>
      </c>
      <c r="Z148" s="11">
        <v>1</v>
      </c>
      <c r="AA148">
        <f t="shared" ref="AA148:AA153" si="73">AVERAGE(AH121:AI121)</f>
        <v>0.182</v>
      </c>
      <c r="AB148">
        <f t="shared" si="70"/>
        <v>0.1115</v>
      </c>
      <c r="AC148">
        <f t="shared" si="71"/>
        <v>323</v>
      </c>
      <c r="AD148">
        <f t="shared" si="72"/>
        <v>0.32300000000000001</v>
      </c>
    </row>
    <row r="149" spans="3:30" x14ac:dyDescent="0.25">
      <c r="C149" s="163"/>
      <c r="D149" s="11">
        <v>3</v>
      </c>
      <c r="E149">
        <f>AVERAGE(L122:M122)</f>
        <v>0.69350000000000001</v>
      </c>
      <c r="F149">
        <f t="shared" si="59"/>
        <v>0.69100000000000006</v>
      </c>
      <c r="G149">
        <f t="shared" si="60"/>
        <v>0.69989970000000001</v>
      </c>
      <c r="H149">
        <f t="shared" si="61"/>
        <v>5.0107149815912777</v>
      </c>
      <c r="I149">
        <v>0.31633333333333336</v>
      </c>
      <c r="J149">
        <f t="shared" si="62"/>
        <v>15.839984135694237</v>
      </c>
      <c r="L149" s="26">
        <f t="shared" si="63"/>
        <v>105.12619187544709</v>
      </c>
      <c r="Y149" s="163"/>
      <c r="Z149" s="11">
        <v>2</v>
      </c>
      <c r="AA149">
        <f t="shared" si="73"/>
        <v>0.1835</v>
      </c>
      <c r="AB149">
        <f t="shared" si="70"/>
        <v>0.113</v>
      </c>
      <c r="AC149">
        <f t="shared" si="71"/>
        <v>328.00000000000006</v>
      </c>
      <c r="AD149">
        <f t="shared" si="72"/>
        <v>0.32800000000000007</v>
      </c>
    </row>
    <row r="150" spans="3:30" x14ac:dyDescent="0.25">
      <c r="C150" s="163"/>
      <c r="D150" s="11">
        <v>4</v>
      </c>
      <c r="E150">
        <f>AVERAGE(L123:M123)</f>
        <v>0.69350000000000001</v>
      </c>
      <c r="F150">
        <f t="shared" si="59"/>
        <v>0.69100000000000006</v>
      </c>
      <c r="G150">
        <f t="shared" si="60"/>
        <v>0.69989970000000001</v>
      </c>
      <c r="H150">
        <f t="shared" si="61"/>
        <v>5.0107149815912777</v>
      </c>
      <c r="I150">
        <v>0.33633333333333337</v>
      </c>
      <c r="J150">
        <f t="shared" si="62"/>
        <v>14.898062383323916</v>
      </c>
      <c r="L150" s="26">
        <f t="shared" si="63"/>
        <v>98.874882150445288</v>
      </c>
      <c r="Y150" s="163"/>
      <c r="Z150" s="11">
        <v>3</v>
      </c>
      <c r="AA150">
        <f t="shared" si="73"/>
        <v>0.18</v>
      </c>
      <c r="AB150">
        <f t="shared" si="70"/>
        <v>0.1095</v>
      </c>
      <c r="AC150">
        <f t="shared" si="71"/>
        <v>316.33333333333337</v>
      </c>
      <c r="AD150">
        <f t="shared" si="72"/>
        <v>0.31633333333333336</v>
      </c>
    </row>
    <row r="151" spans="3:30" x14ac:dyDescent="0.25">
      <c r="C151" s="163"/>
      <c r="D151" s="11">
        <v>5</v>
      </c>
      <c r="E151">
        <f>AVERAGE(L124:M124)</f>
        <v>0.70899999999999996</v>
      </c>
      <c r="F151">
        <f t="shared" si="59"/>
        <v>0.70649999999999991</v>
      </c>
      <c r="G151">
        <f t="shared" si="60"/>
        <v>0.64528855000000052</v>
      </c>
      <c r="H151">
        <f t="shared" si="61"/>
        <v>4.4186392906970768</v>
      </c>
      <c r="I151">
        <v>0.308</v>
      </c>
      <c r="J151">
        <f t="shared" si="62"/>
        <v>14.346231463302198</v>
      </c>
      <c r="L151" s="26">
        <f t="shared" si="63"/>
        <v>95.212512120018161</v>
      </c>
      <c r="Y151" s="163"/>
      <c r="Z151" s="11">
        <v>4</v>
      </c>
      <c r="AA151">
        <f t="shared" si="73"/>
        <v>0.186</v>
      </c>
      <c r="AB151">
        <f t="shared" si="70"/>
        <v>0.11550000000000001</v>
      </c>
      <c r="AC151">
        <f t="shared" si="71"/>
        <v>336.33333333333337</v>
      </c>
      <c r="AD151">
        <f t="shared" si="72"/>
        <v>0.33633333333333337</v>
      </c>
    </row>
    <row r="152" spans="3:30" x14ac:dyDescent="0.25">
      <c r="C152" s="163"/>
      <c r="D152" s="11">
        <v>6</v>
      </c>
      <c r="E152">
        <f>AVERAGE(M125)</f>
        <v>0.70199999999999996</v>
      </c>
      <c r="F152">
        <f t="shared" si="59"/>
        <v>0.69950000000000001</v>
      </c>
      <c r="G152">
        <f t="shared" si="60"/>
        <v>0.66995165000000023</v>
      </c>
      <c r="H152">
        <f t="shared" si="61"/>
        <v>4.6768307123748167</v>
      </c>
      <c r="I152">
        <v>0.25300000000000006</v>
      </c>
      <c r="J152">
        <f t="shared" si="62"/>
        <v>18.485496886856978</v>
      </c>
      <c r="L152" s="26">
        <f t="shared" si="63"/>
        <v>122.68382821555994</v>
      </c>
      <c r="Y152" s="163"/>
      <c r="Z152" s="11">
        <v>5</v>
      </c>
      <c r="AA152">
        <f t="shared" si="73"/>
        <v>0.17749999999999999</v>
      </c>
      <c r="AB152">
        <f t="shared" si="70"/>
        <v>0.107</v>
      </c>
      <c r="AC152">
        <f t="shared" si="71"/>
        <v>308</v>
      </c>
      <c r="AD152">
        <f t="shared" si="72"/>
        <v>0.308</v>
      </c>
    </row>
    <row r="153" spans="3:30" x14ac:dyDescent="0.25">
      <c r="Y153" s="163"/>
      <c r="Z153" s="11">
        <v>6</v>
      </c>
      <c r="AA153">
        <f t="shared" si="73"/>
        <v>0.161</v>
      </c>
      <c r="AB153">
        <f t="shared" si="70"/>
        <v>9.0500000000000011E-2</v>
      </c>
      <c r="AC153">
        <f t="shared" si="71"/>
        <v>253.00000000000006</v>
      </c>
      <c r="AD153">
        <f t="shared" si="72"/>
        <v>0.25300000000000006</v>
      </c>
    </row>
  </sheetData>
  <mergeCells count="16">
    <mergeCell ref="C130:C135"/>
    <mergeCell ref="C136:C141"/>
    <mergeCell ref="C142:C146"/>
    <mergeCell ref="C147:C152"/>
    <mergeCell ref="Y131:Y136"/>
    <mergeCell ref="Y137:Y142"/>
    <mergeCell ref="Y143:Y147"/>
    <mergeCell ref="Y148:Y153"/>
    <mergeCell ref="AC81:AC86"/>
    <mergeCell ref="D100:D103"/>
    <mergeCell ref="AC87:AC89"/>
    <mergeCell ref="AC90:AC95"/>
    <mergeCell ref="AC96:AC99"/>
    <mergeCell ref="D85:D90"/>
    <mergeCell ref="D91:D93"/>
    <mergeCell ref="D94:D99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6FC54-9FD6-451D-AAC7-A5687C87825E}">
  <dimension ref="B3:AE128"/>
  <sheetViews>
    <sheetView topLeftCell="A79" workbookViewId="0">
      <selection activeCell="N96" sqref="N96"/>
    </sheetView>
  </sheetViews>
  <sheetFormatPr defaultRowHeight="15" x14ac:dyDescent="0.25"/>
  <cols>
    <col min="2" max="2" width="16.85546875" customWidth="1"/>
    <col min="3" max="3" width="14.7109375" customWidth="1"/>
    <col min="4" max="5" width="9.140625" customWidth="1"/>
    <col min="6" max="6" width="13.85546875" customWidth="1"/>
    <col min="7" max="7" width="23.140625" customWidth="1"/>
    <col min="8" max="8" width="15.42578125" customWidth="1"/>
    <col min="9" max="9" width="23.42578125" customWidth="1"/>
    <col min="10" max="10" width="18.42578125" customWidth="1"/>
    <col min="11" max="11" width="17.85546875" customWidth="1"/>
    <col min="12" max="12" width="20.28515625" customWidth="1"/>
    <col min="13" max="13" width="15.28515625" customWidth="1"/>
    <col min="14" max="14" width="17" customWidth="1"/>
    <col min="15" max="15" width="10.5703125" customWidth="1"/>
    <col min="16" max="16" width="20.5703125" customWidth="1"/>
    <col min="17" max="17" width="13.85546875" customWidth="1"/>
    <col min="18" max="18" width="15.5703125" customWidth="1"/>
    <col min="22" max="22" width="16.85546875" customWidth="1"/>
    <col min="23" max="23" width="15" customWidth="1"/>
    <col min="25" max="25" width="10.140625" customWidth="1"/>
    <col min="26" max="26" width="12.42578125" customWidth="1"/>
    <col min="28" max="28" width="13.85546875" customWidth="1"/>
    <col min="29" max="29" width="11.85546875" customWidth="1"/>
  </cols>
  <sheetData>
    <row r="3" spans="2:17" x14ac:dyDescent="0.25">
      <c r="B3" s="5" t="s">
        <v>16</v>
      </c>
      <c r="C3" s="5" t="s">
        <v>220</v>
      </c>
    </row>
    <row r="4" spans="2:17" x14ac:dyDescent="0.25">
      <c r="B4" s="10">
        <v>1.2088699999999999</v>
      </c>
      <c r="C4" s="10">
        <v>1.7096389999999999</v>
      </c>
    </row>
    <row r="5" spans="2:17" x14ac:dyDescent="0.25">
      <c r="B5" s="10">
        <v>0.97564499999999998</v>
      </c>
      <c r="C5" s="10">
        <v>2.454618</v>
      </c>
    </row>
    <row r="6" spans="2:17" x14ac:dyDescent="0.25">
      <c r="B6" s="10">
        <v>0.81548399999999999</v>
      </c>
      <c r="C6" s="10">
        <v>1.939627</v>
      </c>
    </row>
    <row r="7" spans="2:17" x14ac:dyDescent="0.25">
      <c r="H7" s="134"/>
      <c r="I7" s="134"/>
      <c r="J7" s="134"/>
      <c r="K7" s="134"/>
      <c r="L7" s="134"/>
      <c r="M7" s="134"/>
      <c r="N7" s="134"/>
      <c r="O7" s="134"/>
      <c r="P7" s="134"/>
      <c r="Q7" s="134"/>
    </row>
    <row r="51" spans="2:22" x14ac:dyDescent="0.25">
      <c r="V51" s="29"/>
    </row>
    <row r="52" spans="2:22" x14ac:dyDescent="0.25">
      <c r="V52" s="29"/>
    </row>
    <row r="53" spans="2:22" x14ac:dyDescent="0.25">
      <c r="V53" s="29"/>
    </row>
    <row r="55" spans="2:22" x14ac:dyDescent="0.25">
      <c r="B55" s="2" t="s">
        <v>241</v>
      </c>
    </row>
    <row r="56" spans="2:22" x14ac:dyDescent="0.25">
      <c r="B56" t="s">
        <v>116</v>
      </c>
      <c r="Q56" t="s">
        <v>116</v>
      </c>
    </row>
    <row r="57" spans="2:22" x14ac:dyDescent="0.25">
      <c r="B57" t="s">
        <v>31</v>
      </c>
      <c r="Q57" t="s">
        <v>31</v>
      </c>
    </row>
    <row r="58" spans="2:22" x14ac:dyDescent="0.25">
      <c r="B58" t="s">
        <v>242</v>
      </c>
      <c r="Q58" t="s">
        <v>243</v>
      </c>
    </row>
    <row r="59" spans="2:22" x14ac:dyDescent="0.25">
      <c r="B59" t="s">
        <v>244</v>
      </c>
      <c r="Q59" t="s">
        <v>244</v>
      </c>
    </row>
    <row r="60" spans="2:22" x14ac:dyDescent="0.25">
      <c r="B60" t="s">
        <v>223</v>
      </c>
      <c r="Q60" t="s">
        <v>223</v>
      </c>
    </row>
    <row r="61" spans="2:22" x14ac:dyDescent="0.25">
      <c r="B61" t="s">
        <v>245</v>
      </c>
      <c r="Q61" t="s">
        <v>246</v>
      </c>
    </row>
    <row r="62" spans="2:22" x14ac:dyDescent="0.25">
      <c r="B62" t="s">
        <v>247</v>
      </c>
      <c r="Q62" t="s">
        <v>247</v>
      </c>
    </row>
    <row r="66" spans="2:31" x14ac:dyDescent="0.25">
      <c r="C66" t="s">
        <v>248</v>
      </c>
      <c r="R66" t="s">
        <v>248</v>
      </c>
    </row>
    <row r="67" spans="2:31" x14ac:dyDescent="0.25">
      <c r="C67" s="11">
        <v>1</v>
      </c>
      <c r="D67" s="11">
        <v>2</v>
      </c>
      <c r="E67" s="11">
        <v>3</v>
      </c>
      <c r="F67" s="11">
        <v>4</v>
      </c>
      <c r="G67" s="11">
        <v>5</v>
      </c>
      <c r="H67" s="11">
        <v>6</v>
      </c>
      <c r="I67" s="11">
        <v>7</v>
      </c>
      <c r="J67" s="11">
        <v>8</v>
      </c>
      <c r="K67" s="11">
        <v>9</v>
      </c>
      <c r="L67" s="11">
        <v>10</v>
      </c>
      <c r="M67" s="11">
        <v>12</v>
      </c>
      <c r="R67" s="11">
        <v>1</v>
      </c>
      <c r="S67" s="11">
        <v>2</v>
      </c>
      <c r="T67" s="11">
        <v>3</v>
      </c>
      <c r="U67" s="11">
        <v>4</v>
      </c>
      <c r="V67" s="11">
        <v>5</v>
      </c>
      <c r="W67" s="11">
        <v>6</v>
      </c>
      <c r="X67" s="11">
        <v>7</v>
      </c>
      <c r="Y67" s="11">
        <v>8</v>
      </c>
      <c r="Z67" s="11">
        <v>9</v>
      </c>
      <c r="AA67" s="11">
        <v>10</v>
      </c>
      <c r="AB67" s="11">
        <v>11</v>
      </c>
      <c r="AC67" s="11">
        <v>12</v>
      </c>
    </row>
    <row r="68" spans="2:31" x14ac:dyDescent="0.25">
      <c r="B68" s="11" t="s">
        <v>38</v>
      </c>
      <c r="C68" s="12">
        <v>10000000</v>
      </c>
      <c r="D68" s="13">
        <v>10000000</v>
      </c>
      <c r="E68" s="13">
        <v>1591930</v>
      </c>
      <c r="F68" s="13">
        <v>1685512</v>
      </c>
      <c r="G68" s="13">
        <v>872006</v>
      </c>
      <c r="H68" s="13">
        <v>810320</v>
      </c>
      <c r="I68" s="13">
        <v>1648865</v>
      </c>
      <c r="J68" s="13">
        <v>1593151</v>
      </c>
      <c r="K68" s="13">
        <v>1654360</v>
      </c>
      <c r="L68" s="13">
        <v>1668525</v>
      </c>
      <c r="M68" s="14"/>
      <c r="Q68" s="11" t="s">
        <v>38</v>
      </c>
      <c r="R68" s="12">
        <v>3433</v>
      </c>
      <c r="S68" s="13">
        <v>4031</v>
      </c>
      <c r="T68" s="13">
        <v>1947442</v>
      </c>
      <c r="U68" s="13">
        <v>1916482</v>
      </c>
      <c r="V68" s="13">
        <v>2095535</v>
      </c>
      <c r="W68" s="13">
        <v>2103565</v>
      </c>
      <c r="X68" s="13">
        <v>3669545</v>
      </c>
      <c r="Y68" s="13">
        <v>3561971</v>
      </c>
      <c r="Z68" s="13">
        <v>3236807</v>
      </c>
      <c r="AA68" s="13">
        <v>3207638</v>
      </c>
      <c r="AB68" s="13"/>
      <c r="AC68" s="14"/>
    </row>
    <row r="69" spans="2:31" x14ac:dyDescent="0.25">
      <c r="B69" s="11" t="s">
        <v>40</v>
      </c>
      <c r="C69" s="15">
        <v>10000000</v>
      </c>
      <c r="D69" s="16">
        <v>10000000</v>
      </c>
      <c r="E69" s="16">
        <v>1112220</v>
      </c>
      <c r="F69" s="16">
        <v>1089366</v>
      </c>
      <c r="G69" s="16">
        <v>1445953</v>
      </c>
      <c r="H69" s="16">
        <v>1436135</v>
      </c>
      <c r="I69" s="16">
        <v>1667787</v>
      </c>
      <c r="J69" s="16">
        <v>1620676</v>
      </c>
      <c r="K69" s="16">
        <v>1819412</v>
      </c>
      <c r="L69" s="16">
        <v>1781616</v>
      </c>
      <c r="M69" s="17"/>
      <c r="Q69" s="11" t="s">
        <v>40</v>
      </c>
      <c r="R69" s="15"/>
      <c r="S69" s="16"/>
      <c r="T69" s="16">
        <v>1656048</v>
      </c>
      <c r="U69" s="16">
        <v>1660227</v>
      </c>
      <c r="V69" s="16">
        <v>1782857</v>
      </c>
      <c r="W69" s="16">
        <v>1748147</v>
      </c>
      <c r="X69" s="16">
        <v>3591375</v>
      </c>
      <c r="Y69" s="16">
        <v>3549188</v>
      </c>
      <c r="Z69" s="16">
        <v>3216128</v>
      </c>
      <c r="AA69" s="16">
        <v>3226772</v>
      </c>
      <c r="AB69" s="16"/>
      <c r="AC69" s="17"/>
    </row>
    <row r="70" spans="2:31" x14ac:dyDescent="0.25">
      <c r="B70" s="11" t="s">
        <v>41</v>
      </c>
      <c r="C70" s="15">
        <v>10000000</v>
      </c>
      <c r="D70" s="16">
        <v>10000000</v>
      </c>
      <c r="E70" s="16">
        <v>1445025</v>
      </c>
      <c r="F70" s="16">
        <v>1437891</v>
      </c>
      <c r="G70" s="16">
        <v>668242</v>
      </c>
      <c r="H70" s="16">
        <v>671485</v>
      </c>
      <c r="I70" s="16">
        <v>1869722</v>
      </c>
      <c r="J70" s="16">
        <v>1848428</v>
      </c>
      <c r="K70" s="16">
        <v>1694361</v>
      </c>
      <c r="L70" s="16">
        <v>1679960</v>
      </c>
      <c r="M70" s="17"/>
      <c r="Q70" s="11" t="s">
        <v>41</v>
      </c>
      <c r="R70" s="15"/>
      <c r="S70" s="16"/>
      <c r="T70" s="16">
        <v>1606846</v>
      </c>
      <c r="U70" s="16">
        <v>1600770</v>
      </c>
      <c r="V70" s="16">
        <v>3206925</v>
      </c>
      <c r="W70" s="16">
        <v>3137401</v>
      </c>
      <c r="X70" s="16">
        <v>2770815</v>
      </c>
      <c r="Y70" s="16">
        <v>2813361</v>
      </c>
      <c r="Z70" s="16">
        <v>3344901</v>
      </c>
      <c r="AA70" s="16">
        <v>3335005</v>
      </c>
      <c r="AB70" s="16"/>
      <c r="AC70" s="17"/>
    </row>
    <row r="71" spans="2:31" x14ac:dyDescent="0.25">
      <c r="B71" s="11" t="s">
        <v>42</v>
      </c>
      <c r="C71" s="15">
        <v>10000000</v>
      </c>
      <c r="D71" s="16">
        <v>10000000</v>
      </c>
      <c r="E71">
        <v>1734839</v>
      </c>
      <c r="F71">
        <v>1909781</v>
      </c>
      <c r="G71" s="16">
        <v>1387437</v>
      </c>
      <c r="H71" s="16">
        <v>1369307</v>
      </c>
      <c r="I71" s="16">
        <v>2726135</v>
      </c>
      <c r="J71" s="16">
        <v>2735241</v>
      </c>
      <c r="K71" s="16">
        <v>1182532</v>
      </c>
      <c r="L71" s="16">
        <v>1181286</v>
      </c>
      <c r="M71" s="17"/>
      <c r="Q71" s="11" t="s">
        <v>42</v>
      </c>
      <c r="R71" s="15"/>
      <c r="S71" s="16"/>
      <c r="T71" s="16">
        <v>1888216</v>
      </c>
      <c r="U71" s="16">
        <v>1844470</v>
      </c>
      <c r="V71" s="16">
        <v>3278602</v>
      </c>
      <c r="W71" s="16">
        <v>3296068</v>
      </c>
      <c r="X71" s="16">
        <v>3135952</v>
      </c>
      <c r="Y71" s="16">
        <v>3148990</v>
      </c>
      <c r="Z71" s="16">
        <v>2612781</v>
      </c>
      <c r="AA71" s="16">
        <v>2614670</v>
      </c>
      <c r="AB71" s="16"/>
      <c r="AC71" s="17"/>
    </row>
    <row r="72" spans="2:31" x14ac:dyDescent="0.25">
      <c r="B72" s="11" t="s">
        <v>43</v>
      </c>
      <c r="C72" s="15">
        <v>10000000</v>
      </c>
      <c r="D72" s="16">
        <v>10000000</v>
      </c>
      <c r="E72" s="16">
        <v>1793853</v>
      </c>
      <c r="F72" s="16">
        <v>1858395</v>
      </c>
      <c r="G72" s="16">
        <v>1185662</v>
      </c>
      <c r="H72" s="16">
        <v>1117371</v>
      </c>
      <c r="I72" s="16">
        <v>2259703</v>
      </c>
      <c r="J72" s="16">
        <v>2236022</v>
      </c>
      <c r="K72" s="16">
        <v>1691368</v>
      </c>
      <c r="L72" s="16">
        <v>1699658</v>
      </c>
      <c r="M72" s="17"/>
      <c r="Q72" s="11" t="s">
        <v>43</v>
      </c>
      <c r="R72" s="15"/>
      <c r="S72" s="16"/>
      <c r="T72" s="16">
        <v>2610720</v>
      </c>
      <c r="U72" s="16">
        <v>2614533</v>
      </c>
      <c r="V72" s="16">
        <v>2658001</v>
      </c>
      <c r="W72" s="16">
        <v>2608431</v>
      </c>
      <c r="X72" s="16">
        <v>3806141</v>
      </c>
      <c r="Y72" s="16">
        <v>3829237</v>
      </c>
      <c r="Z72" s="16">
        <v>3324910</v>
      </c>
      <c r="AA72" s="16">
        <v>3361178</v>
      </c>
      <c r="AB72" s="16"/>
      <c r="AC72" s="17"/>
    </row>
    <row r="73" spans="2:31" x14ac:dyDescent="0.25">
      <c r="B73" s="11" t="s">
        <v>44</v>
      </c>
      <c r="C73" s="15">
        <v>3796</v>
      </c>
      <c r="D73" s="16">
        <v>4392</v>
      </c>
      <c r="E73" s="16">
        <v>1845783</v>
      </c>
      <c r="F73" s="16">
        <v>1768003</v>
      </c>
      <c r="G73" s="16">
        <v>1506200</v>
      </c>
      <c r="H73" s="16">
        <v>1565192</v>
      </c>
      <c r="I73" s="16">
        <v>1437742</v>
      </c>
      <c r="J73" s="16">
        <v>1419126</v>
      </c>
      <c r="K73" s="16">
        <v>1783116</v>
      </c>
      <c r="L73" s="16">
        <v>1780165</v>
      </c>
      <c r="M73" s="17"/>
      <c r="N73" t="s">
        <v>173</v>
      </c>
      <c r="O73">
        <f>AVERAGE(C73:D73)</f>
        <v>4094</v>
      </c>
      <c r="Q73" s="11" t="s">
        <v>44</v>
      </c>
      <c r="R73" s="15"/>
      <c r="S73" s="16"/>
      <c r="T73" s="16">
        <v>1981323</v>
      </c>
      <c r="U73" s="16">
        <v>1979082</v>
      </c>
      <c r="V73" s="16">
        <v>2695111</v>
      </c>
      <c r="W73" s="16">
        <v>2620828</v>
      </c>
      <c r="X73" s="16">
        <v>3567991</v>
      </c>
      <c r="Y73" s="16">
        <v>3581710</v>
      </c>
      <c r="Z73" s="16">
        <v>2881620</v>
      </c>
      <c r="AA73" s="16">
        <v>2931601</v>
      </c>
      <c r="AB73" s="16"/>
      <c r="AC73" s="17"/>
      <c r="AD73" t="s">
        <v>173</v>
      </c>
      <c r="AE73">
        <f>AVERAGE(R68:S68)</f>
        <v>3732</v>
      </c>
    </row>
    <row r="74" spans="2:31" x14ac:dyDescent="0.25">
      <c r="B74" s="11" t="s">
        <v>45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7"/>
      <c r="Q74" s="11" t="s">
        <v>45</v>
      </c>
      <c r="R74" s="15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7"/>
    </row>
    <row r="75" spans="2:31" x14ac:dyDescent="0.25">
      <c r="B75" s="11" t="s">
        <v>46</v>
      </c>
      <c r="C75" s="18"/>
      <c r="D75" s="19"/>
      <c r="E75" s="19"/>
      <c r="F75" s="19"/>
      <c r="G75" s="19"/>
      <c r="H75" s="19"/>
      <c r="I75" s="19"/>
      <c r="J75" s="19"/>
      <c r="K75" s="19"/>
      <c r="L75" s="19"/>
      <c r="M75" s="20"/>
      <c r="Q75" s="11" t="s">
        <v>46</v>
      </c>
      <c r="R75" s="18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20"/>
    </row>
    <row r="76" spans="2:31" x14ac:dyDescent="0.25">
      <c r="G76" s="1"/>
      <c r="H76" s="1"/>
    </row>
    <row r="77" spans="2:31" x14ac:dyDescent="0.25">
      <c r="E77" s="11" t="s">
        <v>47</v>
      </c>
      <c r="F77" s="11" t="s">
        <v>48</v>
      </c>
      <c r="G77" s="1" t="s">
        <v>249</v>
      </c>
      <c r="H77" s="1" t="s">
        <v>250</v>
      </c>
      <c r="I77" s="11" t="s">
        <v>251</v>
      </c>
      <c r="J77" s="11" t="s">
        <v>6</v>
      </c>
      <c r="K77" s="11" t="s">
        <v>233</v>
      </c>
      <c r="T77" s="11" t="s">
        <v>47</v>
      </c>
      <c r="U77" s="11" t="s">
        <v>48</v>
      </c>
      <c r="V77" s="1" t="s">
        <v>249</v>
      </c>
      <c r="W77" s="1" t="s">
        <v>250</v>
      </c>
      <c r="X77" s="11" t="s">
        <v>251</v>
      </c>
      <c r="Y77" s="11" t="s">
        <v>6</v>
      </c>
      <c r="Z77" s="11" t="s">
        <v>233</v>
      </c>
    </row>
    <row r="78" spans="2:31" x14ac:dyDescent="0.25">
      <c r="C78" s="159" t="s">
        <v>27</v>
      </c>
      <c r="D78" s="11">
        <v>1</v>
      </c>
      <c r="E78">
        <f>AVERAGE(E71:F71)</f>
        <v>1822310</v>
      </c>
      <c r="F78">
        <f t="shared" ref="F78:F91" si="0">E78-$O$73</f>
        <v>1818216</v>
      </c>
      <c r="G78">
        <f>F78/10</f>
        <v>181821.6</v>
      </c>
      <c r="H78">
        <v>1.2250000000000001</v>
      </c>
      <c r="I78">
        <f>G78/H78</f>
        <v>148425.79591836734</v>
      </c>
      <c r="J78">
        <f>AVERAGE(I78:I80)</f>
        <v>133563.0287200544</v>
      </c>
      <c r="K78">
        <f>I78/$J$78</f>
        <v>1.1112790518509805</v>
      </c>
      <c r="R78" s="159" t="s">
        <v>237</v>
      </c>
      <c r="S78" s="11">
        <v>1</v>
      </c>
      <c r="T78">
        <f>AVERAGE(T68:U68)</f>
        <v>1931962</v>
      </c>
      <c r="U78">
        <f>T78-$AE$73</f>
        <v>1928230</v>
      </c>
      <c r="V78">
        <f t="shared" ref="V78:V91" si="1">U78/10</f>
        <v>192823</v>
      </c>
      <c r="W78" s="27">
        <v>0.625</v>
      </c>
      <c r="X78">
        <f t="shared" ref="X78:X91" si="2">V78/W78</f>
        <v>308516.8</v>
      </c>
      <c r="Y78">
        <f>AVERAGE(X78:X80)</f>
        <v>304817.2268964898</v>
      </c>
      <c r="Z78">
        <f>X78/$Y$78</f>
        <v>1.0121370210639915</v>
      </c>
    </row>
    <row r="79" spans="2:31" x14ac:dyDescent="0.25">
      <c r="C79" s="159"/>
      <c r="D79" s="11">
        <v>2</v>
      </c>
      <c r="E79">
        <f>AVERAGE(E73:F73)</f>
        <v>1806893</v>
      </c>
      <c r="F79">
        <f t="shared" si="0"/>
        <v>1802799</v>
      </c>
      <c r="G79">
        <f t="shared" ref="G79:G91" si="3">F79/10</f>
        <v>180279.9</v>
      </c>
      <c r="H79">
        <v>1.3360000000000001</v>
      </c>
      <c r="I79">
        <f t="shared" ref="I79:I91" si="4">G79/H79</f>
        <v>134940.04491017963</v>
      </c>
      <c r="K79">
        <f t="shared" ref="K79:K91" si="5">I79/$J$78</f>
        <v>1.0103098604705305</v>
      </c>
      <c r="R79" s="159"/>
      <c r="S79" s="11">
        <v>2</v>
      </c>
      <c r="T79">
        <f>AVERAGE(T70:U70)</f>
        <v>1603808</v>
      </c>
      <c r="U79">
        <f t="shared" ref="U79:U91" si="6">T79-$AE$73</f>
        <v>1600076</v>
      </c>
      <c r="V79">
        <f t="shared" si="1"/>
        <v>160007.6</v>
      </c>
      <c r="W79" s="27">
        <v>0.58749999999999991</v>
      </c>
      <c r="X79">
        <f t="shared" si="2"/>
        <v>272353.36170212773</v>
      </c>
      <c r="Z79">
        <f t="shared" ref="Z79:Z90" si="7">X79/$Y$78</f>
        <v>0.89349727531841172</v>
      </c>
    </row>
    <row r="80" spans="2:31" x14ac:dyDescent="0.25">
      <c r="C80" s="159"/>
      <c r="D80" s="11">
        <v>3</v>
      </c>
      <c r="E80">
        <f>AVERAGE(E72:F72)</f>
        <v>1826124</v>
      </c>
      <c r="F80">
        <f t="shared" si="0"/>
        <v>1822030</v>
      </c>
      <c r="G80">
        <f t="shared" si="3"/>
        <v>182203</v>
      </c>
      <c r="H80">
        <v>1.5529999999999999</v>
      </c>
      <c r="I80">
        <f t="shared" si="4"/>
        <v>117323.24533161623</v>
      </c>
      <c r="K80">
        <f t="shared" si="5"/>
        <v>0.87841108767848886</v>
      </c>
      <c r="R80" s="159"/>
      <c r="S80" s="11">
        <v>3</v>
      </c>
      <c r="T80">
        <f>AVERAGE(T73:U73)</f>
        <v>1980202.5</v>
      </c>
      <c r="U80">
        <f t="shared" si="6"/>
        <v>1976470.5</v>
      </c>
      <c r="V80">
        <f t="shared" si="1"/>
        <v>197647.05</v>
      </c>
      <c r="W80" s="27">
        <v>0.59250000000000003</v>
      </c>
      <c r="X80">
        <f t="shared" si="2"/>
        <v>333581.51898734173</v>
      </c>
      <c r="Z80">
        <f t="shared" si="7"/>
        <v>1.0943657036175969</v>
      </c>
    </row>
    <row r="81" spans="2:26" x14ac:dyDescent="0.25">
      <c r="C81" s="159" t="s">
        <v>28</v>
      </c>
      <c r="D81" s="11">
        <v>1</v>
      </c>
      <c r="E81">
        <f>AVERAGE(G69:H69)</f>
        <v>1441044</v>
      </c>
      <c r="F81">
        <f t="shared" si="0"/>
        <v>1436950</v>
      </c>
      <c r="G81">
        <f t="shared" si="3"/>
        <v>143695</v>
      </c>
      <c r="H81">
        <v>1.3629999999999998</v>
      </c>
      <c r="I81">
        <f t="shared" si="4"/>
        <v>105425.53191489364</v>
      </c>
      <c r="K81">
        <f t="shared" si="5"/>
        <v>0.78933169549384496</v>
      </c>
      <c r="R81" s="159" t="s">
        <v>238</v>
      </c>
      <c r="S81" s="11">
        <v>1</v>
      </c>
      <c r="T81">
        <f>AVERAGE(V68:W68)</f>
        <v>2099550</v>
      </c>
      <c r="U81">
        <f t="shared" si="6"/>
        <v>2095818</v>
      </c>
      <c r="V81">
        <f t="shared" si="1"/>
        <v>209581.8</v>
      </c>
      <c r="W81" s="27">
        <v>0.59249999999999992</v>
      </c>
      <c r="X81">
        <f t="shared" si="2"/>
        <v>353724.55696202535</v>
      </c>
      <c r="Z81">
        <f t="shared" si="7"/>
        <v>1.160448051324027</v>
      </c>
    </row>
    <row r="82" spans="2:26" x14ac:dyDescent="0.25">
      <c r="C82" s="159"/>
      <c r="D82" s="11">
        <v>2</v>
      </c>
      <c r="E82">
        <f>AVERAGE(G71:H71)</f>
        <v>1378372</v>
      </c>
      <c r="F82">
        <f t="shared" si="0"/>
        <v>1374278</v>
      </c>
      <c r="G82">
        <f t="shared" si="3"/>
        <v>137427.79999999999</v>
      </c>
      <c r="H82">
        <v>1.4229999999999998</v>
      </c>
      <c r="I82">
        <f t="shared" si="4"/>
        <v>96576.106816584681</v>
      </c>
      <c r="K82">
        <f t="shared" si="5"/>
        <v>0.72307514843053156</v>
      </c>
      <c r="R82" s="159"/>
      <c r="S82" s="11">
        <v>2</v>
      </c>
      <c r="T82">
        <f>AVERAGE(V70:W70)</f>
        <v>3172163</v>
      </c>
      <c r="U82">
        <f t="shared" si="6"/>
        <v>3168431</v>
      </c>
      <c r="V82">
        <f t="shared" si="1"/>
        <v>316843.09999999998</v>
      </c>
      <c r="W82" s="27">
        <v>0.64249999999999996</v>
      </c>
      <c r="X82">
        <f t="shared" si="2"/>
        <v>493141.01167315175</v>
      </c>
      <c r="Z82">
        <f t="shared" si="7"/>
        <v>1.6178252676008142</v>
      </c>
    </row>
    <row r="83" spans="2:26" x14ac:dyDescent="0.25">
      <c r="C83" s="159"/>
      <c r="D83" s="11">
        <v>3</v>
      </c>
      <c r="E83">
        <f>AVERAGE(G73:H73)</f>
        <v>1535696</v>
      </c>
      <c r="F83">
        <f t="shared" si="0"/>
        <v>1531602</v>
      </c>
      <c r="G83">
        <f t="shared" si="3"/>
        <v>153160.20000000001</v>
      </c>
      <c r="H83">
        <v>1.4129999999999998</v>
      </c>
      <c r="I83">
        <f t="shared" si="4"/>
        <v>108393.63057324843</v>
      </c>
      <c r="K83">
        <f t="shared" si="5"/>
        <v>0.81155415246265084</v>
      </c>
      <c r="R83" s="159"/>
      <c r="S83" s="11">
        <v>3</v>
      </c>
      <c r="T83">
        <f>AVERAGE(V71:W71)</f>
        <v>3287335</v>
      </c>
      <c r="U83">
        <f t="shared" si="6"/>
        <v>3283603</v>
      </c>
      <c r="V83">
        <f t="shared" si="1"/>
        <v>328360.3</v>
      </c>
      <c r="W83" s="27">
        <v>0.83</v>
      </c>
      <c r="X83">
        <f t="shared" si="2"/>
        <v>395614.81927710841</v>
      </c>
      <c r="Z83">
        <f t="shared" si="7"/>
        <v>1.2978755279190692</v>
      </c>
    </row>
    <row r="84" spans="2:26" x14ac:dyDescent="0.25">
      <c r="C84" s="159" t="s">
        <v>29</v>
      </c>
      <c r="D84" s="11">
        <v>1</v>
      </c>
      <c r="E84">
        <f>AVERAGE(I68:J68)</f>
        <v>1621008</v>
      </c>
      <c r="F84">
        <f t="shared" si="0"/>
        <v>1616914</v>
      </c>
      <c r="G84">
        <f t="shared" si="3"/>
        <v>161691.4</v>
      </c>
      <c r="H84">
        <v>1.3479999999999999</v>
      </c>
      <c r="I84">
        <f t="shared" si="4"/>
        <v>119949.10979228487</v>
      </c>
      <c r="K84">
        <f t="shared" si="5"/>
        <v>0.89807120235118321</v>
      </c>
      <c r="R84" s="159" t="s">
        <v>239</v>
      </c>
      <c r="S84" s="11">
        <v>1</v>
      </c>
      <c r="T84">
        <f>AVERAGE(X68:Y68)</f>
        <v>3615758</v>
      </c>
      <c r="U84">
        <f t="shared" si="6"/>
        <v>3612026</v>
      </c>
      <c r="V84">
        <f t="shared" si="1"/>
        <v>361202.6</v>
      </c>
      <c r="W84" s="27">
        <v>0.72999999999999987</v>
      </c>
      <c r="X84">
        <f t="shared" si="2"/>
        <v>494798.08219178085</v>
      </c>
      <c r="Z84">
        <f t="shared" si="7"/>
        <v>1.6232615434159992</v>
      </c>
    </row>
    <row r="85" spans="2:26" x14ac:dyDescent="0.25">
      <c r="C85" s="159"/>
      <c r="D85" s="11">
        <v>2</v>
      </c>
      <c r="E85">
        <f>AVERAGE(I69:J69)</f>
        <v>1644231.5</v>
      </c>
      <c r="F85">
        <f t="shared" si="0"/>
        <v>1640137.5</v>
      </c>
      <c r="G85">
        <f t="shared" si="3"/>
        <v>164013.75</v>
      </c>
      <c r="H85">
        <v>1.3679999999999999</v>
      </c>
      <c r="I85">
        <f t="shared" si="4"/>
        <v>119893.09210526317</v>
      </c>
      <c r="K85">
        <f t="shared" si="5"/>
        <v>0.89765179222280778</v>
      </c>
      <c r="R85" s="159"/>
      <c r="S85" s="11">
        <v>2</v>
      </c>
      <c r="T85">
        <f>AVERAGE(X69:Y69)</f>
        <v>3570281.5</v>
      </c>
      <c r="U85">
        <f t="shared" si="6"/>
        <v>3566549.5</v>
      </c>
      <c r="V85">
        <f t="shared" si="1"/>
        <v>356654.95</v>
      </c>
      <c r="W85" s="27">
        <v>0.77249999999999996</v>
      </c>
      <c r="X85">
        <f t="shared" si="2"/>
        <v>461689.25566343043</v>
      </c>
      <c r="Z85">
        <f t="shared" si="7"/>
        <v>1.5146429234467493</v>
      </c>
    </row>
    <row r="86" spans="2:26" x14ac:dyDescent="0.25">
      <c r="C86" s="159"/>
      <c r="D86" s="11">
        <v>3</v>
      </c>
      <c r="E86">
        <f>AVERAGE(I70:J70)</f>
        <v>1859075</v>
      </c>
      <c r="F86">
        <f t="shared" si="0"/>
        <v>1854981</v>
      </c>
      <c r="G86">
        <f t="shared" si="3"/>
        <v>185498.1</v>
      </c>
      <c r="H86">
        <v>1.4279999999999997</v>
      </c>
      <c r="I86">
        <f t="shared" si="4"/>
        <v>129900.63025210088</v>
      </c>
      <c r="K86">
        <f t="shared" si="5"/>
        <v>0.97257924963928577</v>
      </c>
      <c r="R86" s="159"/>
      <c r="S86" s="11">
        <v>3</v>
      </c>
      <c r="T86">
        <f>AVERAGE(X71:Y71)</f>
        <v>3142471</v>
      </c>
      <c r="U86">
        <f t="shared" si="6"/>
        <v>3138739</v>
      </c>
      <c r="V86">
        <f t="shared" si="1"/>
        <v>313873.90000000002</v>
      </c>
      <c r="W86" s="27">
        <v>0.64749999999999996</v>
      </c>
      <c r="X86">
        <f t="shared" si="2"/>
        <v>484747.33590733598</v>
      </c>
      <c r="Z86">
        <f t="shared" si="7"/>
        <v>1.5902885176235366</v>
      </c>
    </row>
    <row r="87" spans="2:26" x14ac:dyDescent="0.25">
      <c r="C87" s="159"/>
      <c r="D87" s="11">
        <v>4</v>
      </c>
      <c r="E87">
        <f>AVERAGE(I73:J73)</f>
        <v>1428434</v>
      </c>
      <c r="F87">
        <f t="shared" si="0"/>
        <v>1424340</v>
      </c>
      <c r="G87">
        <f t="shared" si="3"/>
        <v>142434</v>
      </c>
      <c r="H87">
        <v>1.1579999999999997</v>
      </c>
      <c r="I87">
        <f t="shared" si="4"/>
        <v>123000.00000000003</v>
      </c>
      <c r="K87">
        <f t="shared" si="5"/>
        <v>0.92091352808272808</v>
      </c>
      <c r="R87" s="159"/>
      <c r="S87" s="11">
        <v>4</v>
      </c>
      <c r="T87">
        <f>AVERAGE(X72:Y72)</f>
        <v>3817689</v>
      </c>
      <c r="U87">
        <f t="shared" si="6"/>
        <v>3813957</v>
      </c>
      <c r="V87">
        <f t="shared" si="1"/>
        <v>381395.7</v>
      </c>
      <c r="W87" s="27">
        <v>0.72499999999999987</v>
      </c>
      <c r="X87">
        <f t="shared" si="2"/>
        <v>526063.03448275873</v>
      </c>
      <c r="Z87">
        <f t="shared" si="7"/>
        <v>1.7258310491139002</v>
      </c>
    </row>
    <row r="88" spans="2:26" x14ac:dyDescent="0.25">
      <c r="C88" s="159" t="s">
        <v>30</v>
      </c>
      <c r="D88" s="11">
        <v>1</v>
      </c>
      <c r="E88">
        <f>AVERAGE(K69:L69)</f>
        <v>1800514</v>
      </c>
      <c r="F88">
        <f t="shared" si="0"/>
        <v>1796420</v>
      </c>
      <c r="G88">
        <f t="shared" si="3"/>
        <v>179642</v>
      </c>
      <c r="H88">
        <v>1.4529999999999998</v>
      </c>
      <c r="I88">
        <f t="shared" si="4"/>
        <v>123635.23743977978</v>
      </c>
      <c r="K88">
        <f t="shared" si="5"/>
        <v>0.92566961549604365</v>
      </c>
      <c r="R88" s="159"/>
      <c r="S88" s="11">
        <v>5</v>
      </c>
      <c r="T88">
        <f>AVERAGE(X73:Y73)</f>
        <v>3574850.5</v>
      </c>
      <c r="U88">
        <f t="shared" si="6"/>
        <v>3571118.5</v>
      </c>
      <c r="V88">
        <f t="shared" si="1"/>
        <v>357111.85</v>
      </c>
      <c r="W88" s="27">
        <v>0.68499999999999983</v>
      </c>
      <c r="X88">
        <f t="shared" si="2"/>
        <v>521331.16788321175</v>
      </c>
      <c r="Z88">
        <f t="shared" si="7"/>
        <v>1.7103074297708443</v>
      </c>
    </row>
    <row r="89" spans="2:26" x14ac:dyDescent="0.25">
      <c r="C89" s="159"/>
      <c r="D89" s="11">
        <v>2</v>
      </c>
      <c r="E89">
        <f>AVERAGE(K71:L71)</f>
        <v>1181909</v>
      </c>
      <c r="F89">
        <f t="shared" si="0"/>
        <v>1177815</v>
      </c>
      <c r="G89">
        <f t="shared" si="3"/>
        <v>117781.5</v>
      </c>
      <c r="H89">
        <v>1.3429999999999997</v>
      </c>
      <c r="I89">
        <f t="shared" si="4"/>
        <v>87700.297840655272</v>
      </c>
      <c r="K89">
        <f t="shared" si="5"/>
        <v>0.65662106258816166</v>
      </c>
      <c r="R89" s="159" t="s">
        <v>240</v>
      </c>
      <c r="S89" s="11">
        <v>1</v>
      </c>
      <c r="T89">
        <f>AVERAGE(Z68:AA68)</f>
        <v>3222222.5</v>
      </c>
      <c r="U89">
        <f t="shared" si="6"/>
        <v>3218490.5</v>
      </c>
      <c r="V89">
        <f t="shared" si="1"/>
        <v>321849.05</v>
      </c>
      <c r="W89" s="27">
        <v>0.75249999999999984</v>
      </c>
      <c r="X89">
        <f t="shared" si="2"/>
        <v>427706.37873754161</v>
      </c>
      <c r="Z89">
        <f t="shared" si="7"/>
        <v>1.4031568461279345</v>
      </c>
    </row>
    <row r="90" spans="2:26" x14ac:dyDescent="0.25">
      <c r="C90" s="159"/>
      <c r="D90" s="11">
        <v>3</v>
      </c>
      <c r="E90">
        <f>AVERAGE(K72:L72)</f>
        <v>1695513</v>
      </c>
      <c r="F90">
        <f t="shared" si="0"/>
        <v>1691419</v>
      </c>
      <c r="G90">
        <f t="shared" si="3"/>
        <v>169141.9</v>
      </c>
      <c r="H90">
        <v>1.3829999999999998</v>
      </c>
      <c r="I90">
        <f t="shared" si="4"/>
        <v>122300.723065799</v>
      </c>
      <c r="K90">
        <f t="shared" si="5"/>
        <v>0.91567797045198052</v>
      </c>
      <c r="R90" s="159"/>
      <c r="S90" s="11">
        <v>2</v>
      </c>
      <c r="T90">
        <f>AVERAGE(Z69:AA69)</f>
        <v>3221450</v>
      </c>
      <c r="U90">
        <f t="shared" si="6"/>
        <v>3217718</v>
      </c>
      <c r="V90">
        <f t="shared" si="1"/>
        <v>321771.8</v>
      </c>
      <c r="W90" s="27">
        <v>0.65500000000000003</v>
      </c>
      <c r="X90">
        <f t="shared" si="2"/>
        <v>491254.6564885496</v>
      </c>
      <c r="Z90">
        <f t="shared" si="7"/>
        <v>1.6116367880197613</v>
      </c>
    </row>
    <row r="91" spans="2:26" x14ac:dyDescent="0.25">
      <c r="C91" s="159"/>
      <c r="D91" s="11">
        <v>4</v>
      </c>
      <c r="E91">
        <f>AVERAGE(K73:L73)</f>
        <v>1781640.5</v>
      </c>
      <c r="F91">
        <f t="shared" si="0"/>
        <v>1777546.5</v>
      </c>
      <c r="G91">
        <f t="shared" si="3"/>
        <v>177754.65</v>
      </c>
      <c r="H91">
        <v>1.3629999999999998</v>
      </c>
      <c r="I91">
        <f t="shared" si="4"/>
        <v>130414.26999266326</v>
      </c>
      <c r="K91">
        <f t="shared" si="5"/>
        <v>0.97642492269330849</v>
      </c>
      <c r="R91" s="159"/>
      <c r="S91" s="11">
        <v>3</v>
      </c>
      <c r="T91">
        <f>AVERAGE(Z70:AA70)</f>
        <v>3339953</v>
      </c>
      <c r="U91">
        <f t="shared" si="6"/>
        <v>3336221</v>
      </c>
      <c r="V91">
        <f t="shared" si="1"/>
        <v>333622.09999999998</v>
      </c>
      <c r="W91" s="27">
        <v>0.82250000000000001</v>
      </c>
      <c r="X91">
        <f t="shared" si="2"/>
        <v>405619.57446808508</v>
      </c>
      <c r="Z91">
        <f>X91/$Y$78</f>
        <v>1.3306976728248561</v>
      </c>
    </row>
    <row r="92" spans="2:26" x14ac:dyDescent="0.25">
      <c r="R92" s="29"/>
    </row>
    <row r="93" spans="2:26" x14ac:dyDescent="0.25">
      <c r="E93" s="11"/>
      <c r="F93" s="11"/>
      <c r="G93" s="11"/>
      <c r="R93" s="29"/>
    </row>
    <row r="94" spans="2:26" x14ac:dyDescent="0.25">
      <c r="B94" s="2" t="s">
        <v>252</v>
      </c>
      <c r="E94" s="11"/>
      <c r="F94" s="11"/>
      <c r="G94" s="11"/>
    </row>
    <row r="95" spans="2:26" x14ac:dyDescent="0.25">
      <c r="B95" s="1"/>
      <c r="E95" s="11" t="s">
        <v>253</v>
      </c>
      <c r="F95" s="11" t="s">
        <v>254</v>
      </c>
      <c r="G95" s="11" t="s">
        <v>255</v>
      </c>
      <c r="H95" s="11" t="s">
        <v>256</v>
      </c>
      <c r="I95" s="11" t="s">
        <v>257</v>
      </c>
      <c r="M95" s="11" t="s">
        <v>254</v>
      </c>
      <c r="N95" s="11" t="s">
        <v>258</v>
      </c>
      <c r="O95" s="11" t="s">
        <v>256</v>
      </c>
      <c r="P95" s="11" t="s">
        <v>257</v>
      </c>
    </row>
    <row r="96" spans="2:26" x14ac:dyDescent="0.25">
      <c r="B96" s="1"/>
      <c r="C96" s="159" t="s">
        <v>27</v>
      </c>
      <c r="D96" s="11">
        <v>1</v>
      </c>
      <c r="E96" s="27">
        <v>0.30303030303030298</v>
      </c>
      <c r="F96">
        <v>1822310.5</v>
      </c>
      <c r="G96">
        <f>E96/F96</f>
        <v>1.6628906162276022E-7</v>
      </c>
      <c r="H96">
        <f>AVERAGE(G96:G98)</f>
        <v>1.7375336007513126E-7</v>
      </c>
      <c r="I96" s="28">
        <f>G96/$H$96</f>
        <v>0.95704083967559839</v>
      </c>
      <c r="K96" s="159" t="s">
        <v>237</v>
      </c>
      <c r="L96" s="11">
        <v>1</v>
      </c>
      <c r="M96">
        <v>308516.8</v>
      </c>
      <c r="N96" s="32" t="e">
        <f>#REF!/M96</f>
        <v>#REF!</v>
      </c>
      <c r="O96" s="33" t="e">
        <f>AVERAGE(N96:N98)</f>
        <v>#REF!</v>
      </c>
      <c r="P96" s="28" t="e">
        <f>N96/$O$96</f>
        <v>#REF!</v>
      </c>
    </row>
    <row r="97" spans="2:16" x14ac:dyDescent="0.25">
      <c r="B97" s="1"/>
      <c r="C97" s="159"/>
      <c r="D97" s="11">
        <v>2</v>
      </c>
      <c r="E97" s="27">
        <v>0.26515151515151536</v>
      </c>
      <c r="F97">
        <v>1802799</v>
      </c>
      <c r="G97">
        <f t="shared" ref="G97:G109" si="8">E97/F97</f>
        <v>1.4707769149612097E-7</v>
      </c>
      <c r="I97" s="28">
        <f t="shared" ref="I97:I109" si="9">G97/$H$96</f>
        <v>0.84647394118032782</v>
      </c>
      <c r="K97" s="159"/>
      <c r="L97" s="11">
        <v>2</v>
      </c>
      <c r="M97">
        <v>272353.36170212773</v>
      </c>
      <c r="N97" s="32" t="e">
        <f>#REF!/M97</f>
        <v>#REF!</v>
      </c>
      <c r="P97" s="28" t="e">
        <f t="shared" ref="P97:P109" si="10">N97/$O$96</f>
        <v>#REF!</v>
      </c>
    </row>
    <row r="98" spans="2:16" x14ac:dyDescent="0.25">
      <c r="B98" s="1"/>
      <c r="C98" s="159"/>
      <c r="D98" s="11">
        <v>3</v>
      </c>
      <c r="E98" s="27">
        <v>0.37878787878787912</v>
      </c>
      <c r="F98">
        <v>1822030</v>
      </c>
      <c r="G98">
        <f t="shared" si="8"/>
        <v>2.0789332710651258E-7</v>
      </c>
      <c r="I98" s="28">
        <f t="shared" si="9"/>
        <v>1.1964852191440738</v>
      </c>
      <c r="K98" s="159"/>
      <c r="L98" s="11">
        <v>3</v>
      </c>
      <c r="M98">
        <v>333581.51898734173</v>
      </c>
      <c r="N98" s="32" t="e">
        <f>#REF!/M98</f>
        <v>#REF!</v>
      </c>
      <c r="P98" s="28" t="e">
        <f t="shared" si="10"/>
        <v>#REF!</v>
      </c>
    </row>
    <row r="99" spans="2:16" x14ac:dyDescent="0.25">
      <c r="B99" s="1"/>
      <c r="C99" s="159" t="s">
        <v>28</v>
      </c>
      <c r="D99" s="11">
        <v>1</v>
      </c>
      <c r="E99" s="27">
        <v>0.39015151515151525</v>
      </c>
      <c r="F99">
        <v>1436950</v>
      </c>
      <c r="G99">
        <f t="shared" si="8"/>
        <v>2.7151363314764973E-7</v>
      </c>
      <c r="I99" s="28">
        <f t="shared" si="9"/>
        <v>1.5626381730416423</v>
      </c>
      <c r="K99" s="159" t="s">
        <v>238</v>
      </c>
      <c r="L99" s="11">
        <v>4</v>
      </c>
      <c r="M99">
        <v>353724.55696202535</v>
      </c>
      <c r="N99" s="32" t="e">
        <f>#REF!/M99</f>
        <v>#REF!</v>
      </c>
      <c r="P99" s="28" t="e">
        <f t="shared" si="10"/>
        <v>#REF!</v>
      </c>
    </row>
    <row r="100" spans="2:16" x14ac:dyDescent="0.25">
      <c r="B100" s="1"/>
      <c r="C100" s="159"/>
      <c r="D100" s="11">
        <v>2</v>
      </c>
      <c r="E100" s="27">
        <v>0.3560606060606068</v>
      </c>
      <c r="F100">
        <v>674278</v>
      </c>
      <c r="G100">
        <f t="shared" si="8"/>
        <v>5.2806202495203281E-7</v>
      </c>
      <c r="I100" s="28">
        <f t="shared" si="9"/>
        <v>3.0391471262696612</v>
      </c>
      <c r="K100" s="159"/>
      <c r="L100" s="11">
        <v>5</v>
      </c>
      <c r="M100">
        <v>493141.01167315175</v>
      </c>
      <c r="N100" s="32" t="e">
        <f>#REF!/M100</f>
        <v>#REF!</v>
      </c>
      <c r="P100" s="28" t="e">
        <f t="shared" si="10"/>
        <v>#REF!</v>
      </c>
    </row>
    <row r="101" spans="2:16" x14ac:dyDescent="0.25">
      <c r="B101" s="1"/>
      <c r="C101" s="159"/>
      <c r="D101" s="11">
        <v>3</v>
      </c>
      <c r="E101" s="27">
        <v>0.53030303030303072</v>
      </c>
      <c r="F101">
        <v>1261098</v>
      </c>
      <c r="G101">
        <f t="shared" si="8"/>
        <v>4.2050897733802665E-7</v>
      </c>
      <c r="I101" s="28">
        <f t="shared" si="9"/>
        <v>2.4201487508281732</v>
      </c>
      <c r="K101" s="159"/>
      <c r="L101" s="11">
        <v>6</v>
      </c>
      <c r="M101">
        <v>395614.81927710841</v>
      </c>
      <c r="N101" s="32" t="e">
        <f>#REF!/M101</f>
        <v>#REF!</v>
      </c>
      <c r="P101" s="28" t="e">
        <f t="shared" si="10"/>
        <v>#REF!</v>
      </c>
    </row>
    <row r="102" spans="2:16" x14ac:dyDescent="0.25">
      <c r="B102" s="1"/>
      <c r="C102" s="159" t="s">
        <v>29</v>
      </c>
      <c r="D102" s="11">
        <v>1</v>
      </c>
      <c r="E102" s="27">
        <v>0.49242424242424282</v>
      </c>
      <c r="F102">
        <v>1616914</v>
      </c>
      <c r="G102">
        <f t="shared" si="8"/>
        <v>3.0454572254569066E-7</v>
      </c>
      <c r="I102" s="28">
        <f t="shared" si="9"/>
        <v>1.7527472413425822</v>
      </c>
      <c r="K102" s="159" t="s">
        <v>239</v>
      </c>
      <c r="L102" s="11">
        <v>7</v>
      </c>
      <c r="M102">
        <v>494798.08219178085</v>
      </c>
      <c r="N102" s="32" t="e">
        <f>#REF!/M102</f>
        <v>#REF!</v>
      </c>
      <c r="P102" s="28" t="e">
        <f t="shared" si="10"/>
        <v>#REF!</v>
      </c>
    </row>
    <row r="103" spans="2:16" x14ac:dyDescent="0.25">
      <c r="B103" s="1"/>
      <c r="C103" s="159"/>
      <c r="D103" s="11">
        <v>2</v>
      </c>
      <c r="E103" s="27">
        <v>0.56818181818181868</v>
      </c>
      <c r="F103">
        <v>1640137.5</v>
      </c>
      <c r="G103">
        <f t="shared" si="8"/>
        <v>3.4642328352459392E-7</v>
      </c>
      <c r="I103" s="28">
        <f t="shared" si="9"/>
        <v>1.9937645141066618</v>
      </c>
      <c r="K103" s="159"/>
      <c r="L103" s="11">
        <v>8</v>
      </c>
      <c r="M103">
        <v>461689.25566343043</v>
      </c>
      <c r="N103" s="32" t="e">
        <f>#REF!/M103</f>
        <v>#REF!</v>
      </c>
      <c r="P103" s="28" t="e">
        <f t="shared" si="10"/>
        <v>#REF!</v>
      </c>
    </row>
    <row r="104" spans="2:16" x14ac:dyDescent="0.25">
      <c r="B104" s="1"/>
      <c r="C104" s="159"/>
      <c r="D104" s="11">
        <v>3</v>
      </c>
      <c r="E104" s="27">
        <v>0.60606060606060652</v>
      </c>
      <c r="F104">
        <v>1854981</v>
      </c>
      <c r="G104">
        <f t="shared" si="8"/>
        <v>3.2672065431430644E-7</v>
      </c>
      <c r="I104" s="28">
        <f t="shared" si="9"/>
        <v>1.880370279878512</v>
      </c>
      <c r="K104" s="159"/>
      <c r="L104" s="11">
        <v>9</v>
      </c>
      <c r="M104">
        <v>484747.33590733598</v>
      </c>
      <c r="N104" s="32" t="e">
        <f>#REF!/M104</f>
        <v>#REF!</v>
      </c>
      <c r="P104" s="28" t="e">
        <f t="shared" si="10"/>
        <v>#REF!</v>
      </c>
    </row>
    <row r="105" spans="2:16" x14ac:dyDescent="0.25">
      <c r="B105" s="1"/>
      <c r="C105" s="159"/>
      <c r="D105" s="11">
        <v>4</v>
      </c>
      <c r="E105" s="27">
        <v>0.5113636363636368</v>
      </c>
      <c r="F105">
        <v>1424340</v>
      </c>
      <c r="G105">
        <f t="shared" si="8"/>
        <v>3.5901795664211973E-7</v>
      </c>
      <c r="I105" s="28">
        <f t="shared" si="9"/>
        <v>2.0662504396282162</v>
      </c>
      <c r="K105" s="159"/>
      <c r="L105" s="11">
        <v>10</v>
      </c>
      <c r="M105">
        <v>526063.03448275873</v>
      </c>
      <c r="N105" s="32" t="e">
        <f>#REF!/M105</f>
        <v>#REF!</v>
      </c>
      <c r="P105" s="28" t="e">
        <f t="shared" si="10"/>
        <v>#REF!</v>
      </c>
    </row>
    <row r="106" spans="2:16" x14ac:dyDescent="0.25">
      <c r="B106" s="1"/>
      <c r="C106" s="159" t="s">
        <v>30</v>
      </c>
      <c r="D106" s="11">
        <v>1</v>
      </c>
      <c r="E106" s="27">
        <v>0.60606060606060652</v>
      </c>
      <c r="F106">
        <v>1796420</v>
      </c>
      <c r="G106">
        <f t="shared" si="8"/>
        <v>3.3737133079157798E-7</v>
      </c>
      <c r="I106" s="28">
        <f t="shared" si="9"/>
        <v>1.9416679518928326</v>
      </c>
      <c r="K106" s="159"/>
      <c r="L106" s="11">
        <v>11</v>
      </c>
      <c r="M106">
        <v>521331.16788321175</v>
      </c>
      <c r="N106" s="32" t="e">
        <f>#REF!/M106</f>
        <v>#REF!</v>
      </c>
      <c r="P106" s="28" t="e">
        <f t="shared" si="10"/>
        <v>#REF!</v>
      </c>
    </row>
    <row r="107" spans="2:16" x14ac:dyDescent="0.25">
      <c r="B107" s="1"/>
      <c r="C107" s="159"/>
      <c r="D107" s="11">
        <v>2</v>
      </c>
      <c r="E107" s="27">
        <v>0.60606060606060652</v>
      </c>
      <c r="F107">
        <v>1177815</v>
      </c>
      <c r="G107">
        <f t="shared" si="8"/>
        <v>5.1456349771450231E-7</v>
      </c>
      <c r="I107" s="28">
        <f t="shared" si="9"/>
        <v>2.9614592632453505</v>
      </c>
      <c r="K107" s="159" t="s">
        <v>240</v>
      </c>
      <c r="L107" s="11">
        <v>12</v>
      </c>
      <c r="M107">
        <v>427706.37873754161</v>
      </c>
      <c r="N107" s="32" t="e">
        <f>#REF!/M107</f>
        <v>#REF!</v>
      </c>
      <c r="P107" s="28" t="e">
        <f t="shared" si="10"/>
        <v>#REF!</v>
      </c>
    </row>
    <row r="108" spans="2:16" x14ac:dyDescent="0.25">
      <c r="B108" s="1"/>
      <c r="C108" s="159"/>
      <c r="D108" s="11">
        <v>3</v>
      </c>
      <c r="E108" s="27">
        <v>0.54924242424242475</v>
      </c>
      <c r="F108">
        <v>1691419</v>
      </c>
      <c r="G108">
        <f t="shared" si="8"/>
        <v>3.2472286538251301E-7</v>
      </c>
      <c r="I108" s="28">
        <f t="shared" si="9"/>
        <v>1.8688724364357747</v>
      </c>
      <c r="K108" s="159"/>
      <c r="L108" s="11">
        <v>13</v>
      </c>
      <c r="M108">
        <v>491254.6564885496</v>
      </c>
      <c r="N108" s="32" t="e">
        <f>#REF!/M108</f>
        <v>#REF!</v>
      </c>
      <c r="P108" s="28" t="e">
        <f t="shared" si="10"/>
        <v>#REF!</v>
      </c>
    </row>
    <row r="109" spans="2:16" x14ac:dyDescent="0.25">
      <c r="B109" s="1"/>
      <c r="C109" s="159"/>
      <c r="D109" s="11">
        <v>4</v>
      </c>
      <c r="E109" s="27">
        <v>0.62500000000000056</v>
      </c>
      <c r="F109">
        <v>1777546.5</v>
      </c>
      <c r="G109">
        <f t="shared" si="8"/>
        <v>3.5160824203473749E-7</v>
      </c>
      <c r="I109" s="28">
        <f t="shared" si="9"/>
        <v>2.0236054248545265</v>
      </c>
      <c r="K109" s="159"/>
      <c r="L109" s="11">
        <v>14</v>
      </c>
      <c r="M109">
        <v>405619.57446808508</v>
      </c>
      <c r="N109" s="32" t="e">
        <f>#REF!/M109</f>
        <v>#REF!</v>
      </c>
      <c r="P109" s="28" t="e">
        <f t="shared" si="10"/>
        <v>#REF!</v>
      </c>
    </row>
    <row r="110" spans="2:16" x14ac:dyDescent="0.25">
      <c r="B110" s="1"/>
    </row>
    <row r="111" spans="2:16" x14ac:dyDescent="0.25">
      <c r="B111" s="1"/>
    </row>
    <row r="114" spans="2:29" x14ac:dyDescent="0.25">
      <c r="B114" s="2" t="s">
        <v>259</v>
      </c>
    </row>
    <row r="115" spans="2:29" x14ac:dyDescent="0.25">
      <c r="B115" s="4"/>
      <c r="C115" s="157" t="s">
        <v>260</v>
      </c>
      <c r="D115" s="157"/>
      <c r="E115" s="157"/>
      <c r="F115" s="157" t="s">
        <v>261</v>
      </c>
      <c r="G115" s="157"/>
      <c r="H115" s="157"/>
      <c r="I115" s="157" t="s">
        <v>262</v>
      </c>
      <c r="J115" s="157"/>
      <c r="K115" s="157"/>
      <c r="L115" s="157" t="s">
        <v>263</v>
      </c>
      <c r="M115" s="157"/>
      <c r="Q115" s="157" t="s">
        <v>260</v>
      </c>
      <c r="R115" s="157"/>
      <c r="S115" s="157"/>
      <c r="T115" s="157" t="s">
        <v>261</v>
      </c>
      <c r="U115" s="157"/>
      <c r="V115" s="157"/>
      <c r="W115" s="157" t="s">
        <v>262</v>
      </c>
      <c r="X115" s="157"/>
      <c r="Y115" s="157"/>
      <c r="Z115" s="157" t="s">
        <v>263</v>
      </c>
      <c r="AA115" s="157"/>
      <c r="AB115" s="157"/>
      <c r="AC115" s="7" t="s">
        <v>6</v>
      </c>
    </row>
    <row r="116" spans="2:29" x14ac:dyDescent="0.25">
      <c r="B116" s="4"/>
      <c r="C116" s="25">
        <v>1</v>
      </c>
      <c r="D116" s="25">
        <v>2</v>
      </c>
      <c r="E116" s="25">
        <v>3</v>
      </c>
      <c r="F116" s="25">
        <v>1</v>
      </c>
      <c r="G116" s="25">
        <v>2</v>
      </c>
      <c r="H116" s="25">
        <v>3</v>
      </c>
      <c r="I116" s="25">
        <v>1</v>
      </c>
      <c r="J116" s="25">
        <v>2</v>
      </c>
      <c r="K116" s="25">
        <v>3</v>
      </c>
      <c r="L116" s="25">
        <v>1</v>
      </c>
      <c r="M116" s="25">
        <v>3</v>
      </c>
      <c r="Q116" s="25">
        <v>1</v>
      </c>
      <c r="R116" s="25">
        <v>2</v>
      </c>
      <c r="S116" s="25">
        <v>3</v>
      </c>
      <c r="T116" s="25">
        <v>1</v>
      </c>
      <c r="U116" s="25">
        <v>2</v>
      </c>
      <c r="V116" s="25">
        <v>3</v>
      </c>
      <c r="W116" s="25">
        <v>1</v>
      </c>
      <c r="X116" s="25">
        <v>2</v>
      </c>
      <c r="Y116" s="25">
        <v>3</v>
      </c>
      <c r="Z116" s="25">
        <v>1</v>
      </c>
      <c r="AA116" s="25">
        <v>2</v>
      </c>
      <c r="AB116" s="25">
        <v>3</v>
      </c>
      <c r="AC116" s="4"/>
    </row>
    <row r="117" spans="2:29" x14ac:dyDescent="0.25">
      <c r="B117" s="7" t="s">
        <v>264</v>
      </c>
      <c r="C117" s="4"/>
      <c r="D117" s="4">
        <v>64894.459000000003</v>
      </c>
      <c r="E117" s="4">
        <v>64077.459000000003</v>
      </c>
      <c r="F117" s="4">
        <v>76488.115999999995</v>
      </c>
      <c r="G117" s="4">
        <v>71488.459000000003</v>
      </c>
      <c r="H117" s="4">
        <v>63946.288</v>
      </c>
      <c r="I117" s="4">
        <v>59048.874000000003</v>
      </c>
      <c r="J117" s="4">
        <v>50892.167000000001</v>
      </c>
      <c r="K117" s="4">
        <v>59821.459000000003</v>
      </c>
      <c r="L117" s="4">
        <v>58864.752</v>
      </c>
      <c r="M117" s="4">
        <v>63091.874000000003</v>
      </c>
      <c r="P117" s="7" t="s">
        <v>264</v>
      </c>
      <c r="Q117" s="4"/>
      <c r="R117" s="4">
        <f t="shared" ref="R117:Z117" si="11">D117/$AC$117</f>
        <v>1.0063347123363708</v>
      </c>
      <c r="S117" s="4">
        <f t="shared" si="11"/>
        <v>0.99366528766362927</v>
      </c>
      <c r="T117" s="4">
        <f t="shared" si="11"/>
        <v>1.1861204700390668</v>
      </c>
      <c r="U117" s="4">
        <f t="shared" si="11"/>
        <v>1.1085895303193056</v>
      </c>
      <c r="V117" s="4">
        <f t="shared" si="11"/>
        <v>0.99163118594545518</v>
      </c>
      <c r="W117" s="4">
        <f t="shared" si="11"/>
        <v>0.91568575416549203</v>
      </c>
      <c r="X117" s="4">
        <f t="shared" si="11"/>
        <v>0.78919764533547532</v>
      </c>
      <c r="Y117" s="4">
        <f t="shared" si="11"/>
        <v>0.92766642425213841</v>
      </c>
      <c r="Z117" s="4">
        <f t="shared" si="11"/>
        <v>0.91283052796035802</v>
      </c>
      <c r="AA117" s="4" t="e">
        <f>#REF!/$AC$117</f>
        <v>#REF!</v>
      </c>
      <c r="AB117" s="4">
        <f>M117/$AC$117</f>
        <v>0.9783815729560601</v>
      </c>
      <c r="AC117" s="4">
        <f>AVERAGE(D117:E117)</f>
        <v>64485.959000000003</v>
      </c>
    </row>
    <row r="118" spans="2:29" x14ac:dyDescent="0.25">
      <c r="B118" s="7" t="s">
        <v>265</v>
      </c>
      <c r="C118" s="4"/>
      <c r="D118" s="4">
        <v>85905.459000000003</v>
      </c>
      <c r="E118" s="4">
        <v>69065.974000000002</v>
      </c>
      <c r="F118" s="4">
        <v>82630.167000000001</v>
      </c>
      <c r="G118" s="4">
        <v>94228.823000000004</v>
      </c>
      <c r="H118" s="4">
        <v>85356.702000000005</v>
      </c>
      <c r="I118" s="4">
        <v>85324.388000000006</v>
      </c>
      <c r="J118" s="4">
        <v>77300.459000000003</v>
      </c>
      <c r="K118" s="4">
        <v>78768.894</v>
      </c>
      <c r="L118" s="4">
        <v>72010.388000000006</v>
      </c>
      <c r="M118" s="4">
        <v>92052.581000000006</v>
      </c>
      <c r="P118" s="7" t="s">
        <v>265</v>
      </c>
      <c r="Q118" s="4"/>
      <c r="R118" s="4">
        <f t="shared" ref="R118:Z118" si="12">D118/$AC$118</f>
        <v>1.1086618654420004</v>
      </c>
      <c r="S118" s="4">
        <f t="shared" si="12"/>
        <v>0.89133813455799937</v>
      </c>
      <c r="T118" s="4">
        <f t="shared" si="12"/>
        <v>1.0663922427561212</v>
      </c>
      <c r="U118" s="4">
        <f t="shared" si="12"/>
        <v>1.2160799080950615</v>
      </c>
      <c r="V118" s="4">
        <f t="shared" si="12"/>
        <v>1.1015798247151782</v>
      </c>
      <c r="W118" s="4">
        <f t="shared" si="12"/>
        <v>1.1011627930161811</v>
      </c>
      <c r="X118" s="4">
        <f t="shared" si="12"/>
        <v>0.99760914000195111</v>
      </c>
      <c r="Y118" s="4">
        <f t="shared" si="12"/>
        <v>1.0165601811270597</v>
      </c>
      <c r="Z118" s="4">
        <f t="shared" si="12"/>
        <v>0.92933757668744021</v>
      </c>
      <c r="AA118" s="4" t="e">
        <f>#REF!/$AC$118</f>
        <v>#REF!</v>
      </c>
      <c r="AB118" s="4">
        <f>M118/$AC$118</f>
        <v>1.1879941898711099</v>
      </c>
      <c r="AC118" s="4">
        <f>AVERAGE(D118:E118)</f>
        <v>77485.71650000001</v>
      </c>
    </row>
    <row r="119" spans="2:29" x14ac:dyDescent="0.25">
      <c r="P119" s="7" t="s">
        <v>266</v>
      </c>
      <c r="Q119" s="4"/>
      <c r="R119" s="4">
        <f t="shared" ref="R119:AB119" si="13">R117/R118</f>
        <v>0.90770210801394002</v>
      </c>
      <c r="S119" s="4">
        <f t="shared" si="13"/>
        <v>1.1148017224197104</v>
      </c>
      <c r="T119" s="4">
        <f t="shared" si="13"/>
        <v>1.1122740981062509</v>
      </c>
      <c r="U119" s="4">
        <f t="shared" si="13"/>
        <v>0.91160911625936236</v>
      </c>
      <c r="V119" s="4">
        <f t="shared" si="13"/>
        <v>0.90019003952060295</v>
      </c>
      <c r="W119" s="4">
        <f t="shared" si="13"/>
        <v>0.83156256275000784</v>
      </c>
      <c r="X119" s="4">
        <f>X117/X118</f>
        <v>0.79108902844848816</v>
      </c>
      <c r="Y119" s="4">
        <f t="shared" si="13"/>
        <v>0.91255435878241387</v>
      </c>
      <c r="Z119" s="4">
        <f t="shared" si="13"/>
        <v>0.98223783354814898</v>
      </c>
      <c r="AA119" s="4" t="e">
        <f>AA117/AA118</f>
        <v>#REF!</v>
      </c>
      <c r="AB119" s="4">
        <f t="shared" si="13"/>
        <v>0.8235575403463955</v>
      </c>
    </row>
    <row r="122" spans="2:29" x14ac:dyDescent="0.25">
      <c r="B122" s="4"/>
      <c r="C122" s="157" t="s">
        <v>260</v>
      </c>
      <c r="D122" s="157"/>
      <c r="E122" s="157"/>
      <c r="F122" s="157" t="s">
        <v>261</v>
      </c>
      <c r="G122" s="157"/>
      <c r="H122" s="157"/>
      <c r="I122" s="157" t="s">
        <v>262</v>
      </c>
      <c r="J122" s="157"/>
      <c r="K122" s="157"/>
      <c r="L122" s="157" t="s">
        <v>263</v>
      </c>
      <c r="M122" s="157"/>
      <c r="Q122" s="157" t="s">
        <v>260</v>
      </c>
      <c r="R122" s="157"/>
      <c r="S122" s="157"/>
      <c r="T122" s="157" t="s">
        <v>261</v>
      </c>
      <c r="U122" s="157"/>
      <c r="V122" s="157"/>
      <c r="W122" s="157" t="s">
        <v>262</v>
      </c>
      <c r="X122" s="157"/>
      <c r="Y122" s="157"/>
      <c r="Z122" s="157" t="s">
        <v>263</v>
      </c>
      <c r="AA122" s="157"/>
      <c r="AB122" s="157"/>
      <c r="AC122" s="7" t="s">
        <v>6</v>
      </c>
    </row>
    <row r="123" spans="2:29" x14ac:dyDescent="0.25">
      <c r="B123" s="4"/>
      <c r="C123" s="25">
        <v>1</v>
      </c>
      <c r="D123" s="25">
        <v>2</v>
      </c>
      <c r="E123" s="25">
        <v>3</v>
      </c>
      <c r="F123" s="25">
        <v>1</v>
      </c>
      <c r="G123" s="25">
        <v>2</v>
      </c>
      <c r="H123" s="25">
        <v>3</v>
      </c>
      <c r="I123" s="25">
        <v>1</v>
      </c>
      <c r="J123" s="25">
        <v>2</v>
      </c>
      <c r="K123" s="25">
        <v>3</v>
      </c>
      <c r="L123" s="25">
        <v>1</v>
      </c>
      <c r="M123" s="25">
        <v>3</v>
      </c>
      <c r="Q123" s="25">
        <v>1</v>
      </c>
      <c r="R123" s="25">
        <v>2</v>
      </c>
      <c r="S123" s="25">
        <v>3</v>
      </c>
      <c r="T123" s="25">
        <v>1</v>
      </c>
      <c r="U123" s="25">
        <v>2</v>
      </c>
      <c r="V123" s="25">
        <v>3</v>
      </c>
      <c r="W123" s="25">
        <v>1</v>
      </c>
      <c r="X123" s="25">
        <v>2</v>
      </c>
      <c r="Y123" s="25">
        <v>3</v>
      </c>
      <c r="Z123" s="25">
        <v>1</v>
      </c>
      <c r="AA123" s="25">
        <v>2</v>
      </c>
      <c r="AB123" s="25">
        <v>3</v>
      </c>
      <c r="AC123" s="4"/>
    </row>
    <row r="124" spans="2:29" x14ac:dyDescent="0.25">
      <c r="B124" s="7" t="s">
        <v>267</v>
      </c>
      <c r="C124" s="21"/>
      <c r="D124" s="21">
        <v>9373.9120000000003</v>
      </c>
      <c r="E124" s="21">
        <v>13135.619000000001</v>
      </c>
      <c r="F124" s="21">
        <v>17573.082999999999</v>
      </c>
      <c r="G124" s="21">
        <v>9736.7189999999991</v>
      </c>
      <c r="H124" s="21">
        <v>12203.205</v>
      </c>
      <c r="I124" s="21">
        <v>11561.376</v>
      </c>
      <c r="J124" s="21">
        <v>14170.205</v>
      </c>
      <c r="K124" s="21">
        <v>18104.376</v>
      </c>
      <c r="L124" s="21">
        <v>20619.103999999999</v>
      </c>
      <c r="M124" s="21">
        <v>32869.254999999997</v>
      </c>
      <c r="P124" s="7" t="s">
        <v>267</v>
      </c>
      <c r="Q124" s="4"/>
      <c r="R124" s="4">
        <f t="shared" ref="R124:Z124" si="14">D124/$AC$124</f>
        <v>0.8328838126391882</v>
      </c>
      <c r="S124" s="4">
        <f t="shared" si="14"/>
        <v>1.1671161873608116</v>
      </c>
      <c r="T124" s="4">
        <f t="shared" si="14"/>
        <v>1.5613904172414785</v>
      </c>
      <c r="U124" s="4">
        <f t="shared" si="14"/>
        <v>0.86511966864169654</v>
      </c>
      <c r="V124" s="4">
        <f t="shared" si="14"/>
        <v>1.0842700365458524</v>
      </c>
      <c r="W124" s="4">
        <f t="shared" si="14"/>
        <v>1.0272427266476587</v>
      </c>
      <c r="X124" s="4">
        <f t="shared" si="14"/>
        <v>1.2590404482439015</v>
      </c>
      <c r="Y124" s="4">
        <f t="shared" si="14"/>
        <v>1.6085964652040061</v>
      </c>
      <c r="Z124" s="4">
        <f t="shared" si="14"/>
        <v>1.8320331951829647</v>
      </c>
      <c r="AA124" s="4" t="e">
        <f>#REF!/$AC$124</f>
        <v>#REF!</v>
      </c>
      <c r="AB124" s="4">
        <f>M124/$AC$124</f>
        <v>2.9204744425816775</v>
      </c>
      <c r="AC124" s="4">
        <f>AVERAGE(D124:E124)</f>
        <v>11254.765500000001</v>
      </c>
    </row>
    <row r="125" spans="2:29" x14ac:dyDescent="0.25">
      <c r="B125" s="7" t="s">
        <v>265</v>
      </c>
      <c r="C125" s="21"/>
      <c r="D125" s="21">
        <v>85905.459000000003</v>
      </c>
      <c r="E125" s="21">
        <v>69065.974000000002</v>
      </c>
      <c r="F125" s="21">
        <v>82630.167000000001</v>
      </c>
      <c r="G125" s="21">
        <v>94228.823000000004</v>
      </c>
      <c r="H125" s="21">
        <v>85356.702000000005</v>
      </c>
      <c r="I125" s="21">
        <v>85324.388000000006</v>
      </c>
      <c r="J125" s="21">
        <v>77300.459000000003</v>
      </c>
      <c r="K125" s="21">
        <v>78768.894</v>
      </c>
      <c r="L125" s="21">
        <v>72010.388000000006</v>
      </c>
      <c r="M125" s="21">
        <v>92052.581000000006</v>
      </c>
      <c r="P125" s="7" t="s">
        <v>265</v>
      </c>
      <c r="Q125" s="4"/>
      <c r="R125" s="4">
        <f t="shared" ref="R125:Z125" si="15">D125/$AC$125</f>
        <v>1.1086618654420004</v>
      </c>
      <c r="S125" s="4">
        <f t="shared" si="15"/>
        <v>0.89133813455799937</v>
      </c>
      <c r="T125" s="4">
        <f t="shared" si="15"/>
        <v>1.0663922427561212</v>
      </c>
      <c r="U125" s="4">
        <f t="shared" si="15"/>
        <v>1.2160799080950615</v>
      </c>
      <c r="V125" s="4">
        <f t="shared" si="15"/>
        <v>1.1015798247151782</v>
      </c>
      <c r="W125" s="4">
        <f t="shared" si="15"/>
        <v>1.1011627930161811</v>
      </c>
      <c r="X125" s="4">
        <f t="shared" si="15"/>
        <v>0.99760914000195111</v>
      </c>
      <c r="Y125" s="4">
        <f t="shared" si="15"/>
        <v>1.0165601811270597</v>
      </c>
      <c r="Z125" s="4">
        <f t="shared" si="15"/>
        <v>0.92933757668744021</v>
      </c>
      <c r="AA125" s="4" t="e">
        <f>#REF!/$AC$125</f>
        <v>#REF!</v>
      </c>
      <c r="AB125" s="4">
        <f>M125/$AC$125</f>
        <v>1.1879941898711099</v>
      </c>
      <c r="AC125" s="4">
        <f>AVERAGE(D125:E125)</f>
        <v>77485.71650000001</v>
      </c>
    </row>
    <row r="126" spans="2:29" x14ac:dyDescent="0.25">
      <c r="P126" s="7" t="s">
        <v>268</v>
      </c>
      <c r="Q126" s="4"/>
      <c r="R126" s="4">
        <f t="shared" ref="R126:AB126" si="16">R124/R125</f>
        <v>0.75125143075714507</v>
      </c>
      <c r="S126" s="4">
        <f t="shared" si="16"/>
        <v>1.3093977942944921</v>
      </c>
      <c r="T126" s="4">
        <f t="shared" si="16"/>
        <v>1.4641802093440031</v>
      </c>
      <c r="U126" s="4">
        <f t="shared" si="16"/>
        <v>0.71140034703547605</v>
      </c>
      <c r="V126" s="4">
        <f t="shared" si="16"/>
        <v>0.98428639688113262</v>
      </c>
      <c r="W126" s="4">
        <f t="shared" si="16"/>
        <v>0.93287090079928248</v>
      </c>
      <c r="X126" s="4">
        <f t="shared" si="16"/>
        <v>1.2620578518771781</v>
      </c>
      <c r="Y126" s="4">
        <f t="shared" si="16"/>
        <v>1.582391770864521</v>
      </c>
      <c r="Z126" s="4">
        <f t="shared" si="16"/>
        <v>1.9713323136175349</v>
      </c>
      <c r="AA126" s="4" t="e">
        <f t="shared" si="16"/>
        <v>#REF!</v>
      </c>
      <c r="AB126" s="4">
        <f t="shared" si="16"/>
        <v>2.4583238432323737</v>
      </c>
    </row>
    <row r="128" spans="2:29" x14ac:dyDescent="0.25">
      <c r="P128" s="7" t="s">
        <v>269</v>
      </c>
      <c r="Q128" s="4"/>
      <c r="R128" s="4">
        <f t="shared" ref="R128:AB128" si="17">R126/R119</f>
        <v>0.82764094533270349</v>
      </c>
      <c r="S128" s="4">
        <f t="shared" si="17"/>
        <v>1.1745566659624502</v>
      </c>
      <c r="T128" s="4">
        <f t="shared" si="17"/>
        <v>1.3163843443238539</v>
      </c>
      <c r="U128" s="4">
        <f t="shared" si="17"/>
        <v>0.78037871094860267</v>
      </c>
      <c r="V128" s="4">
        <f t="shared" si="17"/>
        <v>1.0934206708233689</v>
      </c>
      <c r="W128" s="4">
        <f t="shared" si="17"/>
        <v>1.1218288828614942</v>
      </c>
      <c r="X128" s="4">
        <f t="shared" si="17"/>
        <v>1.595342378028388</v>
      </c>
      <c r="Y128" s="4">
        <f t="shared" si="17"/>
        <v>1.7340246700216799</v>
      </c>
      <c r="Z128" s="4">
        <f t="shared" si="17"/>
        <v>2.0069806377712704</v>
      </c>
      <c r="AA128" s="4" t="e">
        <f t="shared" si="17"/>
        <v>#REF!</v>
      </c>
      <c r="AB128" s="4">
        <f t="shared" si="17"/>
        <v>2.9850055676721521</v>
      </c>
    </row>
  </sheetData>
  <mergeCells count="32">
    <mergeCell ref="W115:Y115"/>
    <mergeCell ref="Z115:AB115"/>
    <mergeCell ref="C122:E122"/>
    <mergeCell ref="F122:H122"/>
    <mergeCell ref="I122:K122"/>
    <mergeCell ref="L122:M122"/>
    <mergeCell ref="Q122:S122"/>
    <mergeCell ref="T122:V122"/>
    <mergeCell ref="W122:Y122"/>
    <mergeCell ref="Z122:AB122"/>
    <mergeCell ref="C115:E115"/>
    <mergeCell ref="F115:H115"/>
    <mergeCell ref="I115:K115"/>
    <mergeCell ref="L115:M115"/>
    <mergeCell ref="Q115:S115"/>
    <mergeCell ref="T115:V115"/>
    <mergeCell ref="C96:C98"/>
    <mergeCell ref="K96:K98"/>
    <mergeCell ref="C99:C101"/>
    <mergeCell ref="K99:K101"/>
    <mergeCell ref="C102:C105"/>
    <mergeCell ref="K102:K106"/>
    <mergeCell ref="C106:C109"/>
    <mergeCell ref="K107:K109"/>
    <mergeCell ref="C78:C80"/>
    <mergeCell ref="R78:R80"/>
    <mergeCell ref="C81:C83"/>
    <mergeCell ref="R81:R83"/>
    <mergeCell ref="C84:C87"/>
    <mergeCell ref="R84:R88"/>
    <mergeCell ref="C88:C91"/>
    <mergeCell ref="R89:R9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AB62-D21E-48B2-ABF7-2A1D1FB76021}">
  <dimension ref="B3:AK40"/>
  <sheetViews>
    <sheetView topLeftCell="O10" workbookViewId="0">
      <selection activeCell="AC25" sqref="AC25:AC38"/>
    </sheetView>
  </sheetViews>
  <sheetFormatPr defaultRowHeight="15" x14ac:dyDescent="0.25"/>
  <cols>
    <col min="2" max="2" width="16.85546875" customWidth="1"/>
    <col min="3" max="3" width="14.7109375" customWidth="1"/>
    <col min="4" max="5" width="9.140625" customWidth="1"/>
    <col min="6" max="6" width="13.85546875" customWidth="1"/>
    <col min="7" max="7" width="23.140625" customWidth="1"/>
    <col min="8" max="8" width="15.42578125" customWidth="1"/>
    <col min="9" max="9" width="23.42578125" customWidth="1"/>
    <col min="10" max="10" width="18.42578125" customWidth="1"/>
    <col min="11" max="11" width="17.85546875" customWidth="1"/>
    <col min="12" max="12" width="20.28515625" customWidth="1"/>
    <col min="13" max="13" width="15.28515625" customWidth="1"/>
    <col min="14" max="14" width="17" customWidth="1"/>
    <col min="15" max="15" width="10.5703125" customWidth="1"/>
    <col min="16" max="16" width="20.5703125" customWidth="1"/>
    <col min="17" max="17" width="13.85546875" customWidth="1"/>
    <col min="18" max="18" width="15.5703125" customWidth="1"/>
    <col min="22" max="22" width="16.85546875" customWidth="1"/>
    <col min="23" max="23" width="15" customWidth="1"/>
    <col min="25" max="25" width="10.140625" customWidth="1"/>
    <col min="26" max="26" width="12.42578125" customWidth="1"/>
    <col min="28" max="28" width="13.85546875" customWidth="1"/>
    <col min="29" max="29" width="11.85546875" customWidth="1"/>
  </cols>
  <sheetData>
    <row r="3" spans="2:33" x14ac:dyDescent="0.25">
      <c r="B3" t="s">
        <v>116</v>
      </c>
      <c r="U3" t="s">
        <v>116</v>
      </c>
    </row>
    <row r="4" spans="2:33" x14ac:dyDescent="0.25">
      <c r="B4" t="s">
        <v>31</v>
      </c>
      <c r="U4" t="s">
        <v>31</v>
      </c>
    </row>
    <row r="5" spans="2:33" x14ac:dyDescent="0.25">
      <c r="B5" t="s">
        <v>221</v>
      </c>
      <c r="U5" t="s">
        <v>222</v>
      </c>
    </row>
    <row r="6" spans="2:33" x14ac:dyDescent="0.25">
      <c r="B6" t="s">
        <v>33</v>
      </c>
      <c r="U6" t="s">
        <v>33</v>
      </c>
    </row>
    <row r="7" spans="2:33" x14ac:dyDescent="0.25">
      <c r="B7" t="s">
        <v>223</v>
      </c>
      <c r="U7" t="s">
        <v>223</v>
      </c>
    </row>
    <row r="8" spans="2:33" x14ac:dyDescent="0.25">
      <c r="B8" t="s">
        <v>224</v>
      </c>
      <c r="U8" t="s">
        <v>225</v>
      </c>
    </row>
    <row r="9" spans="2:33" x14ac:dyDescent="0.25">
      <c r="B9" t="s">
        <v>125</v>
      </c>
      <c r="E9" t="s">
        <v>126</v>
      </c>
      <c r="U9" t="s">
        <v>125</v>
      </c>
      <c r="X9" t="s">
        <v>126</v>
      </c>
    </row>
    <row r="13" spans="2:33" x14ac:dyDescent="0.25">
      <c r="C13" t="s">
        <v>226</v>
      </c>
      <c r="V13" t="s">
        <v>226</v>
      </c>
    </row>
    <row r="14" spans="2:33" x14ac:dyDescent="0.25">
      <c r="C14" s="11">
        <v>1</v>
      </c>
      <c r="D14" s="11">
        <v>2</v>
      </c>
      <c r="E14" s="11">
        <v>3</v>
      </c>
      <c r="F14" s="11">
        <v>4</v>
      </c>
      <c r="G14" s="11">
        <v>5</v>
      </c>
      <c r="H14" s="11">
        <v>6</v>
      </c>
      <c r="I14" s="11">
        <v>7</v>
      </c>
      <c r="J14" s="11">
        <v>8</v>
      </c>
      <c r="K14" s="11">
        <v>9</v>
      </c>
      <c r="L14" s="11">
        <v>10</v>
      </c>
      <c r="M14" s="11">
        <v>12</v>
      </c>
      <c r="O14" t="s">
        <v>227</v>
      </c>
      <c r="V14" s="11">
        <v>1</v>
      </c>
      <c r="W14" s="11">
        <v>2</v>
      </c>
      <c r="X14" s="11">
        <v>3</v>
      </c>
      <c r="Y14" s="11">
        <v>4</v>
      </c>
      <c r="Z14" s="11">
        <v>5</v>
      </c>
      <c r="AA14" s="11">
        <v>6</v>
      </c>
      <c r="AB14" s="11">
        <v>7</v>
      </c>
      <c r="AC14" s="11">
        <v>8</v>
      </c>
      <c r="AD14" s="11">
        <v>9</v>
      </c>
      <c r="AE14" s="11">
        <v>10</v>
      </c>
      <c r="AF14" s="11">
        <v>11</v>
      </c>
      <c r="AG14" s="11">
        <v>12</v>
      </c>
    </row>
    <row r="15" spans="2:33" x14ac:dyDescent="0.25">
      <c r="B15" s="11" t="s">
        <v>38</v>
      </c>
      <c r="C15" s="12">
        <v>4.2999999999999997E-2</v>
      </c>
      <c r="D15" s="13">
        <v>4.2000000000000003E-2</v>
      </c>
      <c r="E15" s="34">
        <v>4.3999999999999997E-2</v>
      </c>
      <c r="F15" s="34">
        <v>4.9000000000000002E-2</v>
      </c>
      <c r="G15" s="34">
        <v>4.6300000000000001E-2</v>
      </c>
      <c r="H15" s="34">
        <v>4.9000000000000002E-2</v>
      </c>
      <c r="I15" s="13">
        <v>4.9000000000000002E-2</v>
      </c>
      <c r="J15" s="13">
        <v>4.9000000000000002E-2</v>
      </c>
      <c r="K15" s="13">
        <v>5.2999999999999999E-2</v>
      </c>
      <c r="L15" s="13">
        <v>5.2999999999999999E-2</v>
      </c>
      <c r="M15" s="14"/>
      <c r="O15" s="3">
        <v>0</v>
      </c>
      <c r="P15">
        <f t="shared" ref="P15:P20" si="0">AVERAGE(C15:D15)</f>
        <v>4.2499999999999996E-2</v>
      </c>
      <c r="Q15">
        <f>P15-$P$15</f>
        <v>0</v>
      </c>
      <c r="U15" s="11" t="s">
        <v>38</v>
      </c>
      <c r="V15" s="12">
        <v>4.4999999999999998E-2</v>
      </c>
      <c r="W15" s="13">
        <v>4.8000000000000001E-2</v>
      </c>
      <c r="X15" s="13">
        <v>5.3999999999999999E-2</v>
      </c>
      <c r="Y15" s="13">
        <v>5.0999999999999997E-2</v>
      </c>
      <c r="Z15" s="13">
        <v>4.8000000000000001E-2</v>
      </c>
      <c r="AA15" s="13">
        <v>4.8000000000000001E-2</v>
      </c>
      <c r="AB15" s="13">
        <v>4.9000000000000002E-2</v>
      </c>
      <c r="AC15" s="13">
        <v>4.9000000000000002E-2</v>
      </c>
      <c r="AD15" s="13">
        <v>0.05</v>
      </c>
      <c r="AE15" s="13">
        <v>5.0999999999999997E-2</v>
      </c>
      <c r="AF15" s="13"/>
      <c r="AG15" s="14"/>
    </row>
    <row r="16" spans="2:33" x14ac:dyDescent="0.25">
      <c r="B16" s="11" t="s">
        <v>40</v>
      </c>
      <c r="C16" s="15">
        <v>5.7000000000000002E-2</v>
      </c>
      <c r="D16" s="16">
        <v>5.2999999999999999E-2</v>
      </c>
      <c r="E16">
        <v>4.7E-2</v>
      </c>
      <c r="F16">
        <v>4.4999999999999998E-2</v>
      </c>
      <c r="G16" s="16">
        <v>4.4600000000000001E-2</v>
      </c>
      <c r="H16" s="16">
        <v>5.0999999999999997E-2</v>
      </c>
      <c r="I16" s="16">
        <v>0.05</v>
      </c>
      <c r="J16" s="16">
        <v>0.05</v>
      </c>
      <c r="K16" s="16">
        <v>5.0999999999999997E-2</v>
      </c>
      <c r="L16" s="16">
        <v>0.05</v>
      </c>
      <c r="M16" s="17"/>
      <c r="O16" s="3">
        <v>2</v>
      </c>
      <c r="P16">
        <f t="shared" si="0"/>
        <v>5.5E-2</v>
      </c>
      <c r="Q16">
        <f t="shared" ref="Q16:Q20" si="1">P16-$P$15</f>
        <v>1.2500000000000004E-2</v>
      </c>
      <c r="U16" s="11" t="s">
        <v>40</v>
      </c>
      <c r="V16" s="15">
        <v>5.3999999999999999E-2</v>
      </c>
      <c r="W16" s="16">
        <v>5.1999999999999998E-2</v>
      </c>
      <c r="X16" s="16">
        <v>5.2999999999999999E-2</v>
      </c>
      <c r="Y16" s="16">
        <v>5.6000000000000001E-2</v>
      </c>
      <c r="Z16" s="16">
        <v>0.05</v>
      </c>
      <c r="AA16" s="16">
        <v>0.05</v>
      </c>
      <c r="AB16" s="16">
        <v>5.0999999999999997E-2</v>
      </c>
      <c r="AC16" s="16">
        <v>7.4999999999999997E-2</v>
      </c>
      <c r="AD16" s="16">
        <v>5.5E-2</v>
      </c>
      <c r="AE16" s="16">
        <v>6.9000000000000006E-2</v>
      </c>
      <c r="AF16" s="16"/>
      <c r="AG16" s="17"/>
    </row>
    <row r="17" spans="2:37" x14ac:dyDescent="0.25">
      <c r="B17" s="11" t="s">
        <v>41</v>
      </c>
      <c r="C17" s="15">
        <v>5.8999999999999997E-2</v>
      </c>
      <c r="D17" s="16">
        <v>6.0999999999999999E-2</v>
      </c>
      <c r="E17">
        <v>0.05</v>
      </c>
      <c r="F17">
        <v>4.3999999999999997E-2</v>
      </c>
      <c r="G17">
        <v>4.5999999999999999E-2</v>
      </c>
      <c r="H17">
        <v>0.05</v>
      </c>
      <c r="I17" s="16">
        <v>5.0999999999999997E-2</v>
      </c>
      <c r="J17" s="16">
        <v>0.05</v>
      </c>
      <c r="K17" s="16">
        <v>5.2999999999999999E-2</v>
      </c>
      <c r="L17" s="16">
        <v>5.3999999999999999E-2</v>
      </c>
      <c r="M17" s="17"/>
      <c r="O17" s="3">
        <v>4</v>
      </c>
      <c r="P17">
        <f t="shared" si="0"/>
        <v>0.06</v>
      </c>
      <c r="Q17">
        <f t="shared" si="1"/>
        <v>1.7500000000000002E-2</v>
      </c>
      <c r="U17" s="11" t="s">
        <v>41</v>
      </c>
      <c r="V17" s="15">
        <v>6.0999999999999999E-2</v>
      </c>
      <c r="W17" s="16">
        <v>6.2E-2</v>
      </c>
      <c r="X17" s="16">
        <v>4.9000000000000002E-2</v>
      </c>
      <c r="Y17" s="16">
        <v>5.0999999999999997E-2</v>
      </c>
      <c r="Z17" s="16">
        <v>4.8000000000000001E-2</v>
      </c>
      <c r="AA17" s="16">
        <v>4.7E-2</v>
      </c>
      <c r="AB17" s="16">
        <v>5.5E-2</v>
      </c>
      <c r="AC17" s="16">
        <v>5.1999999999999998E-2</v>
      </c>
      <c r="AD17" s="16">
        <v>5.0999999999999997E-2</v>
      </c>
      <c r="AE17" s="16">
        <v>5.0999999999999997E-2</v>
      </c>
      <c r="AF17" s="16"/>
      <c r="AG17" s="17"/>
    </row>
    <row r="18" spans="2:37" x14ac:dyDescent="0.25">
      <c r="B18" s="11" t="s">
        <v>42</v>
      </c>
      <c r="C18" s="15">
        <v>7.2999999999999995E-2</v>
      </c>
      <c r="D18" s="16">
        <v>0.08</v>
      </c>
      <c r="E18" s="16">
        <v>4.5999999999999999E-2</v>
      </c>
      <c r="F18" s="16">
        <v>4.9000000000000002E-2</v>
      </c>
      <c r="G18" s="16">
        <v>5.0999999999999997E-2</v>
      </c>
      <c r="H18" s="16">
        <v>4.8000000000000001E-2</v>
      </c>
      <c r="I18" s="16">
        <v>0.05</v>
      </c>
      <c r="J18" s="16">
        <v>0.05</v>
      </c>
      <c r="K18" s="16">
        <v>5.0999999999999997E-2</v>
      </c>
      <c r="L18" s="16">
        <v>0.05</v>
      </c>
      <c r="M18" s="17"/>
      <c r="O18" s="3"/>
      <c r="P18">
        <f t="shared" si="0"/>
        <v>7.6499999999999999E-2</v>
      </c>
      <c r="U18" s="11" t="s">
        <v>42</v>
      </c>
      <c r="V18" s="15">
        <v>7.9000000000000001E-2</v>
      </c>
      <c r="W18" s="16">
        <v>0.08</v>
      </c>
      <c r="X18" s="16">
        <v>0.08</v>
      </c>
      <c r="Y18" s="16">
        <v>4.9000000000000002E-2</v>
      </c>
      <c r="Z18" s="16">
        <v>5.2999999999999999E-2</v>
      </c>
      <c r="AA18" s="16">
        <v>5.2999999999999999E-2</v>
      </c>
      <c r="AB18" s="16">
        <v>4.8000000000000001E-2</v>
      </c>
      <c r="AC18" s="16">
        <v>4.9000000000000002E-2</v>
      </c>
      <c r="AD18" s="16">
        <v>5.1999999999999998E-2</v>
      </c>
      <c r="AE18" s="16">
        <v>5.1999999999999998E-2</v>
      </c>
      <c r="AF18" s="16"/>
      <c r="AG18" s="17"/>
    </row>
    <row r="19" spans="2:37" x14ac:dyDescent="0.25">
      <c r="B19" s="11" t="s">
        <v>43</v>
      </c>
      <c r="C19" s="15">
        <v>0.105</v>
      </c>
      <c r="D19" s="16">
        <v>9.1999999999999998E-2</v>
      </c>
      <c r="E19">
        <v>4.8000000000000001E-2</v>
      </c>
      <c r="F19">
        <v>4.3999999999999997E-2</v>
      </c>
      <c r="G19">
        <v>4.5400000000000003E-2</v>
      </c>
      <c r="H19">
        <v>4.9000000000000002E-2</v>
      </c>
      <c r="I19" s="16">
        <v>4.8000000000000001E-2</v>
      </c>
      <c r="J19" s="16">
        <v>5.0999999999999997E-2</v>
      </c>
      <c r="K19" s="16">
        <v>4.9500000000000002E-2</v>
      </c>
      <c r="L19" s="16">
        <v>0.05</v>
      </c>
      <c r="M19" s="17"/>
      <c r="O19" s="3">
        <v>8</v>
      </c>
      <c r="P19">
        <f t="shared" si="0"/>
        <v>9.8500000000000004E-2</v>
      </c>
      <c r="Q19">
        <f t="shared" si="1"/>
        <v>5.6000000000000008E-2</v>
      </c>
      <c r="U19" s="11" t="s">
        <v>43</v>
      </c>
      <c r="V19" s="15">
        <v>9.9000000000000005E-2</v>
      </c>
      <c r="W19" s="16">
        <v>9.4E-2</v>
      </c>
      <c r="X19" s="16">
        <v>4.8000000000000001E-2</v>
      </c>
      <c r="Y19" s="16">
        <v>7.8E-2</v>
      </c>
      <c r="Z19" s="16">
        <v>0.05</v>
      </c>
      <c r="AA19" s="16">
        <v>5.0999999999999997E-2</v>
      </c>
      <c r="AB19" s="16">
        <v>0.05</v>
      </c>
      <c r="AC19" s="16">
        <v>4.9000000000000002E-2</v>
      </c>
      <c r="AD19" s="16">
        <v>5.0999999999999997E-2</v>
      </c>
      <c r="AE19" s="16">
        <v>5.0999999999999997E-2</v>
      </c>
      <c r="AF19" s="16"/>
      <c r="AG19" s="17"/>
      <c r="AI19" s="11" t="s">
        <v>228</v>
      </c>
      <c r="AJ19" s="11" t="s">
        <v>47</v>
      </c>
      <c r="AK19" s="11" t="s">
        <v>48</v>
      </c>
    </row>
    <row r="20" spans="2:37" x14ac:dyDescent="0.25">
      <c r="B20" s="11" t="s">
        <v>44</v>
      </c>
      <c r="C20" s="15">
        <v>0.106</v>
      </c>
      <c r="D20" s="16">
        <v>0.111</v>
      </c>
      <c r="E20" s="16">
        <v>4.9000000000000002E-2</v>
      </c>
      <c r="F20" s="16">
        <v>4.3999999999999997E-2</v>
      </c>
      <c r="G20" s="16">
        <v>5.1999999999999998E-2</v>
      </c>
      <c r="H20" s="16">
        <v>4.7E-2</v>
      </c>
      <c r="I20" s="16">
        <v>4.9500000000000002E-2</v>
      </c>
      <c r="J20" s="16">
        <v>4.9000000000000002E-2</v>
      </c>
      <c r="K20" s="16">
        <v>5.0500000000000003E-2</v>
      </c>
      <c r="L20" s="16">
        <v>5.0999999999999997E-2</v>
      </c>
      <c r="M20" s="17"/>
      <c r="O20" s="3">
        <v>10</v>
      </c>
      <c r="P20">
        <f t="shared" si="0"/>
        <v>0.1085</v>
      </c>
      <c r="Q20">
        <f t="shared" si="1"/>
        <v>6.6000000000000003E-2</v>
      </c>
      <c r="U20" s="11" t="s">
        <v>44</v>
      </c>
      <c r="V20" s="15">
        <v>0.108</v>
      </c>
      <c r="W20" s="16">
        <v>0.107</v>
      </c>
      <c r="X20" s="16">
        <v>4.7E-2</v>
      </c>
      <c r="Y20" s="16">
        <v>4.8000000000000001E-2</v>
      </c>
      <c r="Z20" s="16">
        <v>6.4000000000000001E-2</v>
      </c>
      <c r="AA20" s="16">
        <v>7.8E-2</v>
      </c>
      <c r="AB20" s="16">
        <v>4.9000000000000002E-2</v>
      </c>
      <c r="AC20" s="16">
        <v>0.05</v>
      </c>
      <c r="AD20" s="16">
        <v>0.05</v>
      </c>
      <c r="AE20" s="16">
        <v>0.05</v>
      </c>
      <c r="AF20" s="16"/>
      <c r="AG20" s="17"/>
      <c r="AI20">
        <v>10</v>
      </c>
      <c r="AJ20">
        <f>AVERAGE(V20:W20)</f>
        <v>0.1075</v>
      </c>
      <c r="AK20">
        <f>AJ20-0.0425</f>
        <v>6.5000000000000002E-2</v>
      </c>
    </row>
    <row r="21" spans="2:37" x14ac:dyDescent="0.25">
      <c r="B21" s="11" t="s">
        <v>45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O21" s="11" t="s">
        <v>228</v>
      </c>
      <c r="P21" s="11" t="s">
        <v>48</v>
      </c>
      <c r="Q21" s="11"/>
      <c r="U21" s="11" t="s">
        <v>45</v>
      </c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</row>
    <row r="22" spans="2:37" x14ac:dyDescent="0.25">
      <c r="B22" s="11" t="s">
        <v>46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20"/>
      <c r="O22" s="3">
        <v>10</v>
      </c>
      <c r="P22">
        <f>P20-P15</f>
        <v>6.6000000000000003E-2</v>
      </c>
      <c r="U22" s="11" t="s">
        <v>46</v>
      </c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0"/>
    </row>
    <row r="23" spans="2:37" x14ac:dyDescent="0.25">
      <c r="G23" s="1" t="s">
        <v>253</v>
      </c>
    </row>
    <row r="24" spans="2:37" x14ac:dyDescent="0.25">
      <c r="E24" s="11" t="s">
        <v>47</v>
      </c>
      <c r="F24" s="11" t="s">
        <v>48</v>
      </c>
      <c r="G24" s="1" t="s">
        <v>229</v>
      </c>
      <c r="H24" s="1" t="s">
        <v>230</v>
      </c>
      <c r="I24" s="1" t="s">
        <v>231</v>
      </c>
      <c r="J24" s="1" t="s">
        <v>232</v>
      </c>
      <c r="K24" s="1" t="s">
        <v>6</v>
      </c>
      <c r="L24" s="1" t="s">
        <v>233</v>
      </c>
      <c r="X24" s="1" t="s">
        <v>47</v>
      </c>
      <c r="Y24" s="1" t="s">
        <v>48</v>
      </c>
      <c r="Z24" s="1" t="s">
        <v>234</v>
      </c>
      <c r="AA24" s="1" t="s">
        <v>230</v>
      </c>
      <c r="AB24" s="1" t="s">
        <v>235</v>
      </c>
      <c r="AC24" s="1" t="s">
        <v>236</v>
      </c>
      <c r="AD24" s="1" t="s">
        <v>6</v>
      </c>
      <c r="AE24" s="1" t="s">
        <v>233</v>
      </c>
    </row>
    <row r="25" spans="2:37" x14ac:dyDescent="0.25">
      <c r="C25" s="159" t="s">
        <v>27</v>
      </c>
      <c r="D25" s="11">
        <v>1</v>
      </c>
      <c r="E25">
        <f>AVERAGE(E15:F15)</f>
        <v>4.65E-2</v>
      </c>
      <c r="F25">
        <f t="shared" ref="F25:F38" si="2">E25-$P$15</f>
        <v>4.0000000000000036E-3</v>
      </c>
      <c r="G25" s="27">
        <f t="shared" ref="G25:G38" si="3">(F25*$O$22)/$P$22</f>
        <v>0.60606060606060652</v>
      </c>
      <c r="H25" s="27">
        <f>G25/2</f>
        <v>0.30303030303030326</v>
      </c>
      <c r="I25" s="3">
        <v>1.2250000000000001</v>
      </c>
      <c r="J25" s="26">
        <f>H25/I25</f>
        <v>0.24737167594310469</v>
      </c>
      <c r="K25" s="26">
        <f>AVERAGE(J25:J27)</f>
        <v>0.229915192363353</v>
      </c>
      <c r="L25" s="30">
        <f>(J25/$K$25)</f>
        <v>1.0759257507096958</v>
      </c>
      <c r="V25" s="159" t="s">
        <v>237</v>
      </c>
      <c r="W25" s="11">
        <v>1</v>
      </c>
      <c r="X25">
        <f>AVERAGE(Y18)</f>
        <v>4.9000000000000002E-2</v>
      </c>
      <c r="Y25" s="3">
        <f t="shared" ref="Y25:Y38" si="4">X25-0.0425</f>
        <v>6.4999999999999988E-3</v>
      </c>
      <c r="Z25" s="28">
        <f t="shared" ref="Z25:Z38" si="5">(Y25*10)/0.065</f>
        <v>0.99999999999999978</v>
      </c>
      <c r="AA25" s="31">
        <f t="shared" ref="AA25:AA38" si="6">Z25/2</f>
        <v>0.49999999999999989</v>
      </c>
      <c r="AB25" s="3">
        <v>0.625</v>
      </c>
      <c r="AC25" s="3">
        <f t="shared" ref="AC25:AC38" si="7">AA25/AB25</f>
        <v>0.79999999999999982</v>
      </c>
      <c r="AD25">
        <f>AVERAGE(AC25:AC27)</f>
        <v>0.7670252920927938</v>
      </c>
      <c r="AE25">
        <f>AC25/$AD$25</f>
        <v>1.0429903788664334</v>
      </c>
    </row>
    <row r="26" spans="2:37" x14ac:dyDescent="0.25">
      <c r="C26" s="159"/>
      <c r="D26" s="11">
        <v>2</v>
      </c>
      <c r="E26">
        <f>AVERAGE(E16:F16)</f>
        <v>4.5999999999999999E-2</v>
      </c>
      <c r="F26">
        <f t="shared" si="2"/>
        <v>3.5000000000000031E-3</v>
      </c>
      <c r="G26" s="27">
        <f t="shared" si="3"/>
        <v>0.53030303030303072</v>
      </c>
      <c r="H26" s="27">
        <f t="shared" ref="H26:H27" si="8">G26/2</f>
        <v>0.26515151515151536</v>
      </c>
      <c r="I26" s="3">
        <v>1.3360000000000001</v>
      </c>
      <c r="J26" s="26">
        <f t="shared" ref="J26" si="9">H26/I26</f>
        <v>0.19846670295772106</v>
      </c>
      <c r="L26" s="30">
        <f t="shared" ref="L26:L38" si="10">(J26/$K$25)</f>
        <v>0.86321700152840952</v>
      </c>
      <c r="V26" s="159"/>
      <c r="W26" s="11">
        <v>2</v>
      </c>
      <c r="X26">
        <f>AVERAGE(X19)</f>
        <v>4.8000000000000001E-2</v>
      </c>
      <c r="Y26" s="3">
        <f t="shared" si="4"/>
        <v>5.4999999999999979E-3</v>
      </c>
      <c r="Z26" s="28">
        <f t="shared" si="5"/>
        <v>0.84615384615384581</v>
      </c>
      <c r="AA26" s="3">
        <f t="shared" si="6"/>
        <v>0.42307692307692291</v>
      </c>
      <c r="AB26" s="3">
        <v>0.58749999999999991</v>
      </c>
      <c r="AC26" s="3">
        <f t="shared" si="7"/>
        <v>0.72013093289689012</v>
      </c>
      <c r="AE26">
        <f t="shared" ref="AE26:AE36" si="11">AC26/$AD$25</f>
        <v>0.93886204316945721</v>
      </c>
    </row>
    <row r="27" spans="2:37" x14ac:dyDescent="0.25">
      <c r="C27" s="159"/>
      <c r="D27" s="11">
        <v>3</v>
      </c>
      <c r="E27">
        <f>AVERAGE(E18:F18)</f>
        <v>4.7500000000000001E-2</v>
      </c>
      <c r="F27">
        <f t="shared" si="2"/>
        <v>5.0000000000000044E-3</v>
      </c>
      <c r="G27" s="27">
        <f t="shared" si="3"/>
        <v>0.75757575757575824</v>
      </c>
      <c r="H27" s="27">
        <f t="shared" si="8"/>
        <v>0.37878787878787912</v>
      </c>
      <c r="I27" s="3">
        <v>1.5529999999999997</v>
      </c>
      <c r="J27" s="26">
        <f>H27/I27</f>
        <v>0.2439071981892332</v>
      </c>
      <c r="L27" s="30">
        <f t="shared" si="10"/>
        <v>1.0608572477618945</v>
      </c>
      <c r="V27" s="159"/>
      <c r="W27" s="11">
        <v>3</v>
      </c>
      <c r="X27">
        <f>AVERAGE(X20:Y20)</f>
        <v>4.7500000000000001E-2</v>
      </c>
      <c r="Y27" s="3">
        <f t="shared" si="4"/>
        <v>4.9999999999999975E-3</v>
      </c>
      <c r="Z27" s="28">
        <f t="shared" si="5"/>
        <v>0.76923076923076883</v>
      </c>
      <c r="AA27" s="3">
        <f t="shared" si="6"/>
        <v>0.38461538461538441</v>
      </c>
      <c r="AB27" s="3">
        <v>0.49249999999999999</v>
      </c>
      <c r="AC27" s="3">
        <f t="shared" si="7"/>
        <v>0.78094494338149123</v>
      </c>
      <c r="AE27">
        <f t="shared" si="11"/>
        <v>1.0181475779641089</v>
      </c>
    </row>
    <row r="28" spans="2:37" x14ac:dyDescent="0.25">
      <c r="C28" s="159" t="s">
        <v>28</v>
      </c>
      <c r="D28" s="11">
        <v>1</v>
      </c>
      <c r="E28">
        <f>AVERAGE(G15:H15)</f>
        <v>4.7649999999999998E-2</v>
      </c>
      <c r="F28">
        <f t="shared" si="2"/>
        <v>5.1500000000000018E-3</v>
      </c>
      <c r="G28" s="27">
        <f t="shared" si="3"/>
        <v>0.7803030303030305</v>
      </c>
      <c r="H28" s="27">
        <f>G28/2</f>
        <v>0.39015151515151525</v>
      </c>
      <c r="I28" s="3">
        <v>1.2529999999999999</v>
      </c>
      <c r="J28" s="26">
        <f t="shared" ref="J28:J38" si="12">H28/I28</f>
        <v>0.31137391472587012</v>
      </c>
      <c r="L28" s="30">
        <f t="shared" si="10"/>
        <v>1.3542989983618894</v>
      </c>
      <c r="V28" s="159" t="s">
        <v>238</v>
      </c>
      <c r="W28" s="11">
        <v>1</v>
      </c>
      <c r="X28">
        <f>AVERAGE(Z15:AA15)</f>
        <v>4.8000000000000001E-2</v>
      </c>
      <c r="Y28" s="3">
        <f t="shared" si="4"/>
        <v>5.4999999999999979E-3</v>
      </c>
      <c r="Z28" s="28">
        <f t="shared" si="5"/>
        <v>0.84615384615384581</v>
      </c>
      <c r="AA28" s="3">
        <f t="shared" si="6"/>
        <v>0.42307692307692291</v>
      </c>
      <c r="AB28" s="3">
        <v>0.59249999999999992</v>
      </c>
      <c r="AC28" s="3">
        <f t="shared" si="7"/>
        <v>0.71405387861084046</v>
      </c>
      <c r="AE28">
        <f t="shared" si="11"/>
        <v>0.93093915672920868</v>
      </c>
    </row>
    <row r="29" spans="2:37" x14ac:dyDescent="0.25">
      <c r="C29" s="159"/>
      <c r="D29" s="11">
        <v>2</v>
      </c>
      <c r="E29">
        <f>AVERAGE(G19:H19)</f>
        <v>4.7200000000000006E-2</v>
      </c>
      <c r="F29">
        <f t="shared" si="2"/>
        <v>4.7000000000000097E-3</v>
      </c>
      <c r="G29" s="27">
        <f t="shared" si="3"/>
        <v>0.7121212121212136</v>
      </c>
      <c r="H29" s="27">
        <f t="shared" ref="H29:H38" si="13">G29/2</f>
        <v>0.3560606060606068</v>
      </c>
      <c r="I29" s="3">
        <v>1.1379999999999997</v>
      </c>
      <c r="J29" s="26">
        <f t="shared" si="12"/>
        <v>0.3128827821270711</v>
      </c>
      <c r="L29" s="30">
        <f t="shared" si="10"/>
        <v>1.3608617112722063</v>
      </c>
      <c r="V29" s="159"/>
      <c r="W29" s="11">
        <v>2</v>
      </c>
      <c r="X29">
        <f>AVERAGE(Z17:AA17)</f>
        <v>4.7500000000000001E-2</v>
      </c>
      <c r="Y29" s="3">
        <f t="shared" si="4"/>
        <v>4.9999999999999975E-3</v>
      </c>
      <c r="Z29" s="28">
        <f t="shared" si="5"/>
        <v>0.76923076923076883</v>
      </c>
      <c r="AA29" s="3">
        <f t="shared" si="6"/>
        <v>0.38461538461538441</v>
      </c>
      <c r="AB29" s="3">
        <v>0.64249999999999996</v>
      </c>
      <c r="AC29" s="3">
        <f t="shared" si="7"/>
        <v>0.59862316671655169</v>
      </c>
      <c r="AE29">
        <f t="shared" si="11"/>
        <v>0.78044775431490077</v>
      </c>
    </row>
    <row r="30" spans="2:37" x14ac:dyDescent="0.25">
      <c r="C30" s="159"/>
      <c r="D30" s="11">
        <v>3</v>
      </c>
      <c r="E30">
        <f>AVERAGE(G20:H20)</f>
        <v>4.9500000000000002E-2</v>
      </c>
      <c r="F30">
        <f t="shared" si="2"/>
        <v>7.0000000000000062E-3</v>
      </c>
      <c r="G30" s="27">
        <f t="shared" si="3"/>
        <v>1.0606060606060614</v>
      </c>
      <c r="H30" s="27">
        <f t="shared" si="13"/>
        <v>0.53030303030303072</v>
      </c>
      <c r="I30" s="3">
        <v>1.5129999999999999</v>
      </c>
      <c r="J30" s="26">
        <f t="shared" si="12"/>
        <v>0.35049770674357617</v>
      </c>
      <c r="L30" s="30">
        <f t="shared" si="10"/>
        <v>1.5244651871010644</v>
      </c>
      <c r="V30" s="159"/>
      <c r="W30" s="11">
        <v>3</v>
      </c>
      <c r="X30">
        <f>AVERAGE(Z18:AA18)</f>
        <v>5.2999999999999999E-2</v>
      </c>
      <c r="Y30" s="3">
        <f t="shared" si="4"/>
        <v>1.0499999999999995E-2</v>
      </c>
      <c r="Z30" s="28">
        <f t="shared" si="5"/>
        <v>1.6153846153846145</v>
      </c>
      <c r="AA30" s="3">
        <f t="shared" si="6"/>
        <v>0.80769230769230727</v>
      </c>
      <c r="AB30" s="3">
        <v>0.83</v>
      </c>
      <c r="AC30" s="3">
        <f t="shared" si="7"/>
        <v>0.97312326227988832</v>
      </c>
      <c r="AE30">
        <f t="shared" si="11"/>
        <v>1.2686977500113008</v>
      </c>
    </row>
    <row r="31" spans="2:37" x14ac:dyDescent="0.25">
      <c r="C31" s="159" t="s">
        <v>29</v>
      </c>
      <c r="D31" s="11">
        <v>1</v>
      </c>
      <c r="E31">
        <f>AVERAGE(I15:J15)</f>
        <v>4.9000000000000002E-2</v>
      </c>
      <c r="F31">
        <f t="shared" si="2"/>
        <v>6.5000000000000058E-3</v>
      </c>
      <c r="G31" s="27">
        <f t="shared" si="3"/>
        <v>0.98484848484848564</v>
      </c>
      <c r="H31" s="27">
        <f t="shared" si="13"/>
        <v>0.49242424242424282</v>
      </c>
      <c r="I31" s="3">
        <v>1.548</v>
      </c>
      <c r="J31" s="26">
        <f t="shared" si="12"/>
        <v>0.31810351577793461</v>
      </c>
      <c r="L31" s="30">
        <f t="shared" si="10"/>
        <v>1.383568926037783</v>
      </c>
      <c r="V31" s="159" t="s">
        <v>239</v>
      </c>
      <c r="W31" s="11">
        <v>1</v>
      </c>
      <c r="X31">
        <f>AVERAGE(AB15:AC15)</f>
        <v>4.9000000000000002E-2</v>
      </c>
      <c r="Y31" s="3">
        <f t="shared" si="4"/>
        <v>6.4999999999999988E-3</v>
      </c>
      <c r="Z31" s="28">
        <f t="shared" si="5"/>
        <v>0.99999999999999978</v>
      </c>
      <c r="AA31" s="3">
        <f t="shared" si="6"/>
        <v>0.49999999999999989</v>
      </c>
      <c r="AB31" s="3">
        <v>0.72999999999999987</v>
      </c>
      <c r="AC31" s="3">
        <f t="shared" si="7"/>
        <v>0.68493150684931503</v>
      </c>
      <c r="AE31">
        <f t="shared" si="11"/>
        <v>0.89297121478290553</v>
      </c>
    </row>
    <row r="32" spans="2:37" x14ac:dyDescent="0.25">
      <c r="C32" s="159"/>
      <c r="D32" s="11">
        <v>2</v>
      </c>
      <c r="E32">
        <f t="shared" ref="E32:E33" si="14">AVERAGE(I16:J16)</f>
        <v>0.05</v>
      </c>
      <c r="F32">
        <f t="shared" si="2"/>
        <v>7.5000000000000067E-3</v>
      </c>
      <c r="G32" s="27">
        <f t="shared" si="3"/>
        <v>1.1363636363636374</v>
      </c>
      <c r="H32" s="27">
        <f t="shared" si="13"/>
        <v>0.56818181818181868</v>
      </c>
      <c r="I32" s="3">
        <v>1.5680000000000001</v>
      </c>
      <c r="J32" s="26">
        <f t="shared" si="12"/>
        <v>0.3623608534322823</v>
      </c>
      <c r="L32" s="30">
        <f t="shared" si="10"/>
        <v>1.5760631113911561</v>
      </c>
      <c r="V32" s="159"/>
      <c r="W32" s="11">
        <v>2</v>
      </c>
      <c r="X32">
        <f>AVERAGE(AB16)</f>
        <v>5.0999999999999997E-2</v>
      </c>
      <c r="Y32" s="3">
        <f t="shared" si="4"/>
        <v>8.4999999999999937E-3</v>
      </c>
      <c r="Z32" s="28">
        <f t="shared" si="5"/>
        <v>1.3076923076923066</v>
      </c>
      <c r="AA32" s="3">
        <f t="shared" si="6"/>
        <v>0.6538461538461533</v>
      </c>
      <c r="AB32" s="3">
        <v>0.77249999999999996</v>
      </c>
      <c r="AC32" s="3">
        <f t="shared" si="7"/>
        <v>0.8464027881503603</v>
      </c>
      <c r="AE32">
        <f t="shared" si="11"/>
        <v>1.1034874558581877</v>
      </c>
    </row>
    <row r="33" spans="3:31" x14ac:dyDescent="0.25">
      <c r="C33" s="159"/>
      <c r="D33" s="11">
        <v>3</v>
      </c>
      <c r="E33">
        <f t="shared" si="14"/>
        <v>5.0500000000000003E-2</v>
      </c>
      <c r="F33">
        <f t="shared" si="2"/>
        <v>8.0000000000000071E-3</v>
      </c>
      <c r="G33" s="27">
        <f t="shared" si="3"/>
        <v>1.212121212121213</v>
      </c>
      <c r="H33" s="27">
        <f t="shared" si="13"/>
        <v>0.60606060606060652</v>
      </c>
      <c r="I33" s="3">
        <v>1.6279999999999999</v>
      </c>
      <c r="J33" s="26">
        <f t="shared" si="12"/>
        <v>0.3722730995458271</v>
      </c>
      <c r="L33" s="30">
        <f t="shared" si="10"/>
        <v>1.6191757304906356</v>
      </c>
      <c r="V33" s="159"/>
      <c r="W33" s="11">
        <v>3</v>
      </c>
      <c r="X33">
        <f>AVERAGE(AB18:AC18)</f>
        <v>4.8500000000000001E-2</v>
      </c>
      <c r="Y33" s="3">
        <f t="shared" si="4"/>
        <v>5.9999999999999984E-3</v>
      </c>
      <c r="Z33" s="28">
        <f t="shared" si="5"/>
        <v>0.9230769230769228</v>
      </c>
      <c r="AA33" s="3">
        <f t="shared" si="6"/>
        <v>0.4615384615384614</v>
      </c>
      <c r="AB33" s="3">
        <v>0.64749999999999996</v>
      </c>
      <c r="AC33" s="3">
        <f t="shared" si="7"/>
        <v>0.71280071280071267</v>
      </c>
      <c r="AE33">
        <f t="shared" si="11"/>
        <v>0.92930535687534921</v>
      </c>
    </row>
    <row r="34" spans="3:31" x14ac:dyDescent="0.25">
      <c r="C34" s="159"/>
      <c r="D34" s="11">
        <v>4</v>
      </c>
      <c r="E34">
        <f>AVERAGE(I20:J20)</f>
        <v>4.9250000000000002E-2</v>
      </c>
      <c r="F34">
        <f t="shared" si="2"/>
        <v>6.750000000000006E-3</v>
      </c>
      <c r="G34" s="27">
        <f t="shared" si="3"/>
        <v>1.0227272727272736</v>
      </c>
      <c r="H34" s="27">
        <f t="shared" si="13"/>
        <v>0.5113636363636368</v>
      </c>
      <c r="I34" s="3">
        <v>1.6579999999999999</v>
      </c>
      <c r="J34" s="26">
        <f t="shared" si="12"/>
        <v>0.30842197609387023</v>
      </c>
      <c r="L34" s="30">
        <f t="shared" si="10"/>
        <v>1.3414597483686368</v>
      </c>
      <c r="V34" s="159"/>
      <c r="W34" s="11">
        <v>4</v>
      </c>
      <c r="X34">
        <f>AVERAGE(AB19:AC19)</f>
        <v>4.9500000000000002E-2</v>
      </c>
      <c r="Y34" s="3">
        <f t="shared" si="4"/>
        <v>6.9999999999999993E-3</v>
      </c>
      <c r="Z34" s="28">
        <f t="shared" si="5"/>
        <v>1.0769230769230769</v>
      </c>
      <c r="AA34" s="3">
        <f t="shared" si="6"/>
        <v>0.53846153846153844</v>
      </c>
      <c r="AB34" s="3">
        <v>0.72499999999999987</v>
      </c>
      <c r="AC34" s="3">
        <f t="shared" si="7"/>
        <v>0.74270557029177731</v>
      </c>
      <c r="AE34">
        <f t="shared" si="11"/>
        <v>0.96829345518103938</v>
      </c>
    </row>
    <row r="35" spans="3:31" x14ac:dyDescent="0.25">
      <c r="C35" s="159" t="s">
        <v>30</v>
      </c>
      <c r="D35" s="11">
        <v>1</v>
      </c>
      <c r="E35">
        <f>AVERAGE(K16:L16)</f>
        <v>5.0500000000000003E-2</v>
      </c>
      <c r="F35">
        <f t="shared" si="2"/>
        <v>8.0000000000000071E-3</v>
      </c>
      <c r="G35" s="27">
        <f t="shared" si="3"/>
        <v>1.212121212121213</v>
      </c>
      <c r="H35" s="27">
        <f t="shared" si="13"/>
        <v>0.60606060606060652</v>
      </c>
      <c r="I35" s="3">
        <v>1.653</v>
      </c>
      <c r="J35" s="26">
        <f t="shared" si="12"/>
        <v>0.36664283488239957</v>
      </c>
      <c r="L35" s="30">
        <f t="shared" si="10"/>
        <v>1.594687289315641</v>
      </c>
      <c r="V35" s="159"/>
      <c r="W35" s="11">
        <v>5</v>
      </c>
      <c r="X35">
        <f>AVERAGE(AB20:AC20)</f>
        <v>4.9500000000000002E-2</v>
      </c>
      <c r="Y35" s="3">
        <f t="shared" si="4"/>
        <v>6.9999999999999993E-3</v>
      </c>
      <c r="Z35" s="28">
        <f t="shared" si="5"/>
        <v>1.0769230769230769</v>
      </c>
      <c r="AA35" s="3">
        <f t="shared" si="6"/>
        <v>0.53846153846153844</v>
      </c>
      <c r="AB35" s="3">
        <v>0.68499999999999983</v>
      </c>
      <c r="AC35" s="3">
        <f t="shared" si="7"/>
        <v>0.7860752386299833</v>
      </c>
      <c r="AE35">
        <f t="shared" si="11"/>
        <v>1.0248361386952607</v>
      </c>
    </row>
    <row r="36" spans="3:31" x14ac:dyDescent="0.25">
      <c r="C36" s="159"/>
      <c r="D36" s="11">
        <v>2</v>
      </c>
      <c r="E36">
        <f>AVERAGE(K18:L18)</f>
        <v>5.0500000000000003E-2</v>
      </c>
      <c r="F36">
        <f t="shared" si="2"/>
        <v>8.0000000000000071E-3</v>
      </c>
      <c r="G36" s="27">
        <f t="shared" si="3"/>
        <v>1.212121212121213</v>
      </c>
      <c r="H36" s="27">
        <f t="shared" si="13"/>
        <v>0.60606060606060652</v>
      </c>
      <c r="I36" s="3">
        <v>1.643</v>
      </c>
      <c r="J36" s="26">
        <f t="shared" si="12"/>
        <v>0.36887437982994919</v>
      </c>
      <c r="L36" s="30">
        <f t="shared" si="10"/>
        <v>1.6043932375159797</v>
      </c>
      <c r="V36" s="159" t="s">
        <v>240</v>
      </c>
      <c r="W36" s="11">
        <v>1</v>
      </c>
      <c r="X36">
        <f>AVERAGE(AD15:AE15)</f>
        <v>5.0500000000000003E-2</v>
      </c>
      <c r="Y36" s="3">
        <f t="shared" si="4"/>
        <v>8.0000000000000002E-3</v>
      </c>
      <c r="Z36" s="28">
        <f t="shared" si="5"/>
        <v>1.2307692307692308</v>
      </c>
      <c r="AA36" s="3">
        <f t="shared" si="6"/>
        <v>0.61538461538461542</v>
      </c>
      <c r="AB36" s="3">
        <v>0.75249999999999984</v>
      </c>
      <c r="AC36" s="3">
        <f t="shared" si="7"/>
        <v>0.81778686429849246</v>
      </c>
      <c r="AE36">
        <f t="shared" si="11"/>
        <v>1.0661797892833469</v>
      </c>
    </row>
    <row r="37" spans="3:31" x14ac:dyDescent="0.25">
      <c r="C37" s="159"/>
      <c r="D37" s="11">
        <v>3</v>
      </c>
      <c r="E37">
        <f t="shared" ref="E37:E38" si="15">AVERAGE(K19:L19)</f>
        <v>4.9750000000000003E-2</v>
      </c>
      <c r="F37">
        <f t="shared" si="2"/>
        <v>7.2500000000000064E-3</v>
      </c>
      <c r="G37" s="27">
        <f t="shared" si="3"/>
        <v>1.0984848484848495</v>
      </c>
      <c r="H37" s="27">
        <f t="shared" si="13"/>
        <v>0.54924242424242475</v>
      </c>
      <c r="I37" s="3">
        <v>1.6830000000000001</v>
      </c>
      <c r="J37" s="26">
        <f t="shared" si="12"/>
        <v>0.32634725148094162</v>
      </c>
      <c r="L37" s="30">
        <f t="shared" si="10"/>
        <v>1.4194244761572323</v>
      </c>
      <c r="V37" s="159"/>
      <c r="W37" s="11">
        <v>2</v>
      </c>
      <c r="X37">
        <f>AVERAGE(AD18:AE18)</f>
        <v>5.1999999999999998E-2</v>
      </c>
      <c r="Y37" s="3">
        <f t="shared" si="4"/>
        <v>9.4999999999999946E-3</v>
      </c>
      <c r="Z37" s="28">
        <f t="shared" si="5"/>
        <v>1.4615384615384606</v>
      </c>
      <c r="AA37" s="3">
        <f t="shared" si="6"/>
        <v>0.73076923076923028</v>
      </c>
      <c r="AB37" s="3">
        <v>0.83</v>
      </c>
      <c r="AC37" s="3">
        <f t="shared" si="7"/>
        <v>0.88044485634847025</v>
      </c>
      <c r="AE37">
        <f>AC37/$AD$25</f>
        <v>1.1478693928673673</v>
      </c>
    </row>
    <row r="38" spans="3:31" x14ac:dyDescent="0.25">
      <c r="C38" s="159"/>
      <c r="D38" s="11">
        <v>4</v>
      </c>
      <c r="E38">
        <f t="shared" si="15"/>
        <v>5.0750000000000003E-2</v>
      </c>
      <c r="F38">
        <f t="shared" si="2"/>
        <v>8.2500000000000073E-3</v>
      </c>
      <c r="G38" s="27">
        <f t="shared" si="3"/>
        <v>1.2500000000000011</v>
      </c>
      <c r="H38" s="27">
        <f t="shared" si="13"/>
        <v>0.62500000000000056</v>
      </c>
      <c r="I38" s="3">
        <v>1.5629999999999999</v>
      </c>
      <c r="J38" s="26">
        <f t="shared" si="12"/>
        <v>0.39987204094689738</v>
      </c>
      <c r="L38" s="30">
        <f t="shared" si="10"/>
        <v>1.7392153899727871</v>
      </c>
      <c r="V38" s="29"/>
      <c r="W38" s="11">
        <v>3</v>
      </c>
      <c r="X38">
        <f>AVERAGE(AD19:AE19)</f>
        <v>5.0999999999999997E-2</v>
      </c>
      <c r="Y38" s="3">
        <f t="shared" si="4"/>
        <v>8.4999999999999937E-3</v>
      </c>
      <c r="Z38" s="28">
        <f t="shared" si="5"/>
        <v>1.3076923076923066</v>
      </c>
      <c r="AA38" s="3">
        <f t="shared" si="6"/>
        <v>0.6538461538461533</v>
      </c>
      <c r="AB38" s="27">
        <v>0.82250000000000001</v>
      </c>
      <c r="AC38" s="3">
        <f t="shared" si="7"/>
        <v>0.79494973111994316</v>
      </c>
      <c r="AE38">
        <f>AC38/$AD$25</f>
        <v>1.0364061515506988</v>
      </c>
    </row>
    <row r="39" spans="3:31" x14ac:dyDescent="0.25">
      <c r="V39" s="29"/>
    </row>
    <row r="40" spans="3:31" x14ac:dyDescent="0.25">
      <c r="V40" s="29"/>
    </row>
  </sheetData>
  <mergeCells count="8">
    <mergeCell ref="C25:C27"/>
    <mergeCell ref="V25:V27"/>
    <mergeCell ref="C28:C30"/>
    <mergeCell ref="V28:V30"/>
    <mergeCell ref="C31:C34"/>
    <mergeCell ref="V31:V35"/>
    <mergeCell ref="C35:C38"/>
    <mergeCell ref="V36:V3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62F57-76DC-4111-A9F8-5D5554913745}">
  <dimension ref="B3:AE39"/>
  <sheetViews>
    <sheetView topLeftCell="H13" workbookViewId="0">
      <selection activeCell="I46" sqref="I46"/>
    </sheetView>
  </sheetViews>
  <sheetFormatPr defaultRowHeight="15" x14ac:dyDescent="0.25"/>
  <cols>
    <col min="2" max="2" width="16.85546875" customWidth="1"/>
    <col min="3" max="3" width="14.7109375" customWidth="1"/>
    <col min="4" max="5" width="9.140625" customWidth="1"/>
    <col min="6" max="6" width="13.85546875" customWidth="1"/>
    <col min="7" max="7" width="23.140625" customWidth="1"/>
    <col min="8" max="8" width="15.42578125" customWidth="1"/>
    <col min="9" max="9" width="23.42578125" customWidth="1"/>
    <col min="10" max="10" width="18.42578125" customWidth="1"/>
    <col min="11" max="11" width="17.85546875" customWidth="1"/>
    <col min="12" max="12" width="20.28515625" customWidth="1"/>
    <col min="13" max="13" width="15.28515625" customWidth="1"/>
    <col min="14" max="14" width="17" customWidth="1"/>
    <col min="15" max="15" width="10.5703125" customWidth="1"/>
    <col min="16" max="16" width="20.5703125" customWidth="1"/>
    <col min="17" max="17" width="13.85546875" customWidth="1"/>
    <col min="18" max="18" width="15.5703125" customWidth="1"/>
    <col min="22" max="22" width="16.85546875" customWidth="1"/>
    <col min="23" max="23" width="15" customWidth="1"/>
    <col min="25" max="25" width="10.140625" customWidth="1"/>
    <col min="26" max="26" width="20.42578125" customWidth="1"/>
    <col min="28" max="28" width="13.85546875" customWidth="1"/>
    <col min="29" max="29" width="11.85546875" customWidth="1"/>
  </cols>
  <sheetData>
    <row r="3" spans="2:29" x14ac:dyDescent="0.25">
      <c r="B3" t="s">
        <v>116</v>
      </c>
      <c r="Q3" t="s">
        <v>116</v>
      </c>
    </row>
    <row r="4" spans="2:29" x14ac:dyDescent="0.25">
      <c r="B4" t="s">
        <v>31</v>
      </c>
      <c r="Q4" t="s">
        <v>31</v>
      </c>
    </row>
    <row r="5" spans="2:29" x14ac:dyDescent="0.25">
      <c r="B5" t="s">
        <v>242</v>
      </c>
      <c r="Q5" t="s">
        <v>243</v>
      </c>
    </row>
    <row r="6" spans="2:29" x14ac:dyDescent="0.25">
      <c r="B6" t="s">
        <v>244</v>
      </c>
      <c r="Q6" t="s">
        <v>244</v>
      </c>
    </row>
    <row r="7" spans="2:29" x14ac:dyDescent="0.25">
      <c r="B7" t="s">
        <v>223</v>
      </c>
      <c r="Q7" t="s">
        <v>223</v>
      </c>
    </row>
    <row r="8" spans="2:29" x14ac:dyDescent="0.25">
      <c r="B8" t="s">
        <v>245</v>
      </c>
      <c r="Q8" t="s">
        <v>246</v>
      </c>
    </row>
    <row r="9" spans="2:29" x14ac:dyDescent="0.25">
      <c r="B9" t="s">
        <v>247</v>
      </c>
      <c r="Q9" t="s">
        <v>247</v>
      </c>
    </row>
    <row r="13" spans="2:29" x14ac:dyDescent="0.25">
      <c r="C13" t="s">
        <v>248</v>
      </c>
      <c r="R13" t="s">
        <v>248</v>
      </c>
    </row>
    <row r="14" spans="2:29" x14ac:dyDescent="0.25">
      <c r="C14" s="11">
        <v>1</v>
      </c>
      <c r="D14" s="11">
        <v>2</v>
      </c>
      <c r="E14" s="11">
        <v>3</v>
      </c>
      <c r="F14" s="11">
        <v>4</v>
      </c>
      <c r="G14" s="11">
        <v>5</v>
      </c>
      <c r="H14" s="11">
        <v>6</v>
      </c>
      <c r="I14" s="11">
        <v>7</v>
      </c>
      <c r="J14" s="11">
        <v>8</v>
      </c>
      <c r="K14" s="11">
        <v>9</v>
      </c>
      <c r="L14" s="11">
        <v>10</v>
      </c>
      <c r="M14" s="11">
        <v>12</v>
      </c>
      <c r="R14" s="11">
        <v>1</v>
      </c>
      <c r="S14" s="11">
        <v>2</v>
      </c>
      <c r="T14" s="11">
        <v>3</v>
      </c>
      <c r="U14" s="11">
        <v>4</v>
      </c>
      <c r="V14" s="11">
        <v>5</v>
      </c>
      <c r="W14" s="11">
        <v>6</v>
      </c>
      <c r="X14" s="11">
        <v>7</v>
      </c>
      <c r="Y14" s="11">
        <v>8</v>
      </c>
      <c r="Z14" s="11">
        <v>9</v>
      </c>
      <c r="AA14" s="11">
        <v>10</v>
      </c>
      <c r="AB14" s="11">
        <v>11</v>
      </c>
      <c r="AC14" s="11">
        <v>12</v>
      </c>
    </row>
    <row r="15" spans="2:29" x14ac:dyDescent="0.25">
      <c r="B15" s="11" t="s">
        <v>38</v>
      </c>
      <c r="C15" s="12">
        <v>10000000</v>
      </c>
      <c r="D15" s="13">
        <v>10000000</v>
      </c>
      <c r="E15" s="13">
        <v>1591930</v>
      </c>
      <c r="F15" s="13">
        <v>1685512</v>
      </c>
      <c r="G15" s="13">
        <v>872006</v>
      </c>
      <c r="H15" s="13">
        <v>810320</v>
      </c>
      <c r="I15" s="13">
        <v>1648865</v>
      </c>
      <c r="J15" s="13">
        <v>1593151</v>
      </c>
      <c r="K15" s="13">
        <v>1654360</v>
      </c>
      <c r="L15" s="13">
        <v>1668525</v>
      </c>
      <c r="M15" s="14"/>
      <c r="Q15" s="11" t="s">
        <v>38</v>
      </c>
      <c r="R15" s="12">
        <v>3433</v>
      </c>
      <c r="S15" s="13">
        <v>4031</v>
      </c>
      <c r="T15" s="13">
        <v>1947442</v>
      </c>
      <c r="U15" s="13">
        <v>1916482</v>
      </c>
      <c r="V15" s="13">
        <v>2095535</v>
      </c>
      <c r="W15" s="13">
        <v>2103565</v>
      </c>
      <c r="X15" s="13">
        <v>3669545</v>
      </c>
      <c r="Y15" s="13">
        <v>3561971</v>
      </c>
      <c r="Z15" s="13">
        <v>3236807</v>
      </c>
      <c r="AA15" s="13">
        <v>3207638</v>
      </c>
      <c r="AB15" s="13"/>
      <c r="AC15" s="14"/>
    </row>
    <row r="16" spans="2:29" x14ac:dyDescent="0.25">
      <c r="B16" s="11" t="s">
        <v>40</v>
      </c>
      <c r="C16" s="15">
        <v>10000000</v>
      </c>
      <c r="D16" s="16">
        <v>10000000</v>
      </c>
      <c r="E16" s="16">
        <v>1112220</v>
      </c>
      <c r="F16" s="16">
        <v>1089366</v>
      </c>
      <c r="G16" s="16">
        <v>1445953</v>
      </c>
      <c r="H16" s="16">
        <v>1436135</v>
      </c>
      <c r="I16" s="16">
        <v>1667787</v>
      </c>
      <c r="J16" s="16">
        <v>1620676</v>
      </c>
      <c r="K16" s="16">
        <v>1819412</v>
      </c>
      <c r="L16" s="16">
        <v>1781616</v>
      </c>
      <c r="M16" s="17"/>
      <c r="Q16" s="11" t="s">
        <v>40</v>
      </c>
      <c r="R16" s="15"/>
      <c r="S16" s="16"/>
      <c r="T16" s="16">
        <v>1656048</v>
      </c>
      <c r="U16" s="16">
        <v>1660227</v>
      </c>
      <c r="V16" s="16">
        <v>1782857</v>
      </c>
      <c r="W16" s="16">
        <v>1748147</v>
      </c>
      <c r="X16" s="16">
        <v>3591375</v>
      </c>
      <c r="Y16" s="16">
        <v>3549188</v>
      </c>
      <c r="Z16" s="16">
        <v>3216128</v>
      </c>
      <c r="AA16" s="16">
        <v>3226772</v>
      </c>
      <c r="AB16" s="16"/>
      <c r="AC16" s="17"/>
    </row>
    <row r="17" spans="2:31" x14ac:dyDescent="0.25">
      <c r="B17" s="11" t="s">
        <v>41</v>
      </c>
      <c r="C17" s="15">
        <v>10000000</v>
      </c>
      <c r="D17" s="16">
        <v>10000000</v>
      </c>
      <c r="E17" s="16">
        <v>1445025</v>
      </c>
      <c r="F17" s="16">
        <v>1437891</v>
      </c>
      <c r="G17" s="16">
        <v>668242</v>
      </c>
      <c r="H17" s="16">
        <v>671485</v>
      </c>
      <c r="I17" s="16">
        <v>1869722</v>
      </c>
      <c r="J17" s="16">
        <v>1848428</v>
      </c>
      <c r="K17" s="16">
        <v>1694361</v>
      </c>
      <c r="L17" s="16">
        <v>1679960</v>
      </c>
      <c r="M17" s="17"/>
      <c r="Q17" s="11" t="s">
        <v>41</v>
      </c>
      <c r="R17" s="15"/>
      <c r="S17" s="16"/>
      <c r="T17" s="16">
        <v>1606846</v>
      </c>
      <c r="U17" s="16">
        <v>1600770</v>
      </c>
      <c r="V17" s="16">
        <v>3206925</v>
      </c>
      <c r="W17" s="16">
        <v>3137401</v>
      </c>
      <c r="X17" s="16">
        <v>2770815</v>
      </c>
      <c r="Y17" s="16">
        <v>2813361</v>
      </c>
      <c r="Z17" s="16">
        <v>3344901</v>
      </c>
      <c r="AA17" s="16">
        <v>3335005</v>
      </c>
      <c r="AB17" s="16"/>
      <c r="AC17" s="17"/>
    </row>
    <row r="18" spans="2:31" x14ac:dyDescent="0.25">
      <c r="B18" s="11" t="s">
        <v>42</v>
      </c>
      <c r="C18" s="15">
        <v>10000000</v>
      </c>
      <c r="D18" s="16">
        <v>10000000</v>
      </c>
      <c r="E18">
        <v>1734839</v>
      </c>
      <c r="F18">
        <v>1909781</v>
      </c>
      <c r="G18" s="16">
        <v>1387437</v>
      </c>
      <c r="H18" s="16">
        <v>1369307</v>
      </c>
      <c r="I18" s="16">
        <v>2726135</v>
      </c>
      <c r="J18" s="16">
        <v>2735241</v>
      </c>
      <c r="K18" s="16">
        <v>1182532</v>
      </c>
      <c r="L18" s="16">
        <v>1181286</v>
      </c>
      <c r="M18" s="17"/>
      <c r="Q18" s="11" t="s">
        <v>42</v>
      </c>
      <c r="R18" s="15"/>
      <c r="S18" s="16"/>
      <c r="T18" s="16">
        <v>1888216</v>
      </c>
      <c r="U18" s="16">
        <v>1844470</v>
      </c>
      <c r="V18" s="16">
        <v>3278602</v>
      </c>
      <c r="W18" s="16">
        <v>3296068</v>
      </c>
      <c r="X18" s="16">
        <v>3135952</v>
      </c>
      <c r="Y18" s="16">
        <v>3148990</v>
      </c>
      <c r="Z18" s="16">
        <v>2612781</v>
      </c>
      <c r="AA18" s="16">
        <v>2614670</v>
      </c>
      <c r="AB18" s="16"/>
      <c r="AC18" s="17"/>
    </row>
    <row r="19" spans="2:31" x14ac:dyDescent="0.25">
      <c r="B19" s="11" t="s">
        <v>43</v>
      </c>
      <c r="C19" s="15">
        <v>10000000</v>
      </c>
      <c r="D19" s="16">
        <v>10000000</v>
      </c>
      <c r="E19" s="16">
        <v>1793853</v>
      </c>
      <c r="F19" s="16">
        <v>1858395</v>
      </c>
      <c r="G19" s="16">
        <v>1185662</v>
      </c>
      <c r="H19" s="16">
        <v>1117371</v>
      </c>
      <c r="I19" s="16">
        <v>2259703</v>
      </c>
      <c r="J19" s="16">
        <v>2236022</v>
      </c>
      <c r="K19" s="16">
        <v>1691368</v>
      </c>
      <c r="L19" s="16">
        <v>1699658</v>
      </c>
      <c r="M19" s="17"/>
      <c r="Q19" s="11" t="s">
        <v>43</v>
      </c>
      <c r="R19" s="15"/>
      <c r="S19" s="16"/>
      <c r="T19" s="16">
        <v>2610720</v>
      </c>
      <c r="U19" s="16">
        <v>2614533</v>
      </c>
      <c r="V19" s="16">
        <v>2658001</v>
      </c>
      <c r="W19" s="16">
        <v>2608431</v>
      </c>
      <c r="X19" s="16">
        <v>3806141</v>
      </c>
      <c r="Y19" s="16">
        <v>3829237</v>
      </c>
      <c r="Z19" s="16">
        <v>3324910</v>
      </c>
      <c r="AA19" s="16">
        <v>3361178</v>
      </c>
      <c r="AB19" s="16"/>
      <c r="AC19" s="17"/>
    </row>
    <row r="20" spans="2:31" x14ac:dyDescent="0.25">
      <c r="B20" s="11" t="s">
        <v>44</v>
      </c>
      <c r="C20" s="15">
        <v>3796</v>
      </c>
      <c r="D20" s="16">
        <v>4392</v>
      </c>
      <c r="E20" s="16">
        <v>1845783</v>
      </c>
      <c r="F20" s="16">
        <v>1768003</v>
      </c>
      <c r="G20" s="16">
        <v>1506200</v>
      </c>
      <c r="H20" s="16">
        <v>1565192</v>
      </c>
      <c r="I20" s="16">
        <v>1437742</v>
      </c>
      <c r="J20" s="16">
        <v>1419126</v>
      </c>
      <c r="K20" s="16">
        <v>1783116</v>
      </c>
      <c r="L20" s="16">
        <v>1780165</v>
      </c>
      <c r="M20" s="17"/>
      <c r="N20" t="s">
        <v>173</v>
      </c>
      <c r="O20">
        <f>AVERAGE(C20:D20)</f>
        <v>4094</v>
      </c>
      <c r="Q20" s="11" t="s">
        <v>44</v>
      </c>
      <c r="R20" s="15"/>
      <c r="S20" s="16"/>
      <c r="T20" s="16">
        <v>1981323</v>
      </c>
      <c r="U20" s="16">
        <v>1979082</v>
      </c>
      <c r="V20" s="16">
        <v>2695111</v>
      </c>
      <c r="W20" s="16">
        <v>2620828</v>
      </c>
      <c r="X20" s="16">
        <v>3567991</v>
      </c>
      <c r="Y20" s="16">
        <v>3581710</v>
      </c>
      <c r="Z20" s="16">
        <v>2881620</v>
      </c>
      <c r="AA20" s="16">
        <v>2931601</v>
      </c>
      <c r="AB20" s="16"/>
      <c r="AC20" s="17"/>
      <c r="AD20" t="s">
        <v>173</v>
      </c>
      <c r="AE20">
        <f>AVERAGE(R15:S15)</f>
        <v>3732</v>
      </c>
    </row>
    <row r="21" spans="2:31" x14ac:dyDescent="0.25">
      <c r="B21" s="11" t="s">
        <v>45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Q21" s="11" t="s">
        <v>45</v>
      </c>
      <c r="R21" s="15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7"/>
    </row>
    <row r="22" spans="2:31" x14ac:dyDescent="0.25">
      <c r="B22" s="11" t="s">
        <v>46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20"/>
      <c r="Q22" s="11" t="s">
        <v>46</v>
      </c>
      <c r="R22" s="18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20"/>
    </row>
    <row r="23" spans="2:31" x14ac:dyDescent="0.25">
      <c r="G23" s="1" t="s">
        <v>254</v>
      </c>
      <c r="H23" s="1"/>
    </row>
    <row r="24" spans="2:31" x14ac:dyDescent="0.25">
      <c r="E24" s="11" t="s">
        <v>47</v>
      </c>
      <c r="F24" s="11" t="s">
        <v>48</v>
      </c>
      <c r="G24" s="1" t="s">
        <v>249</v>
      </c>
      <c r="H24" s="1" t="s">
        <v>250</v>
      </c>
      <c r="I24" s="11" t="s">
        <v>251</v>
      </c>
      <c r="J24" s="11" t="s">
        <v>6</v>
      </c>
      <c r="K24" s="11" t="s">
        <v>233</v>
      </c>
      <c r="T24" s="11" t="s">
        <v>47</v>
      </c>
      <c r="U24" s="11" t="s">
        <v>48</v>
      </c>
      <c r="V24" s="1" t="s">
        <v>249</v>
      </c>
      <c r="W24" s="1" t="s">
        <v>250</v>
      </c>
      <c r="X24" s="11" t="s">
        <v>251</v>
      </c>
      <c r="Y24" s="11" t="s">
        <v>6</v>
      </c>
      <c r="Z24" s="11" t="s">
        <v>233</v>
      </c>
    </row>
    <row r="25" spans="2:31" x14ac:dyDescent="0.25">
      <c r="C25" s="159" t="s">
        <v>27</v>
      </c>
      <c r="D25" s="11">
        <v>1</v>
      </c>
      <c r="E25">
        <f>AVERAGE(E18:F18)</f>
        <v>1822310</v>
      </c>
      <c r="F25">
        <f t="shared" ref="F25:F38" si="0">E25-$O$20</f>
        <v>1818216</v>
      </c>
      <c r="G25">
        <f>F25/10</f>
        <v>181821.6</v>
      </c>
      <c r="H25">
        <v>1.2250000000000001</v>
      </c>
      <c r="I25">
        <f>G25/H25</f>
        <v>148425.79591836734</v>
      </c>
      <c r="J25">
        <f>AVERAGE(I25:I27)</f>
        <v>133563.0287200544</v>
      </c>
      <c r="K25">
        <f>I25/$J$25</f>
        <v>1.1112790518509805</v>
      </c>
      <c r="R25" s="159" t="s">
        <v>237</v>
      </c>
      <c r="S25" s="11">
        <v>1</v>
      </c>
      <c r="T25">
        <f>AVERAGE(T15:U15)</f>
        <v>1931962</v>
      </c>
      <c r="U25">
        <f>T25-$AE$20</f>
        <v>1928230</v>
      </c>
      <c r="V25">
        <f t="shared" ref="V25:V38" si="1">U25/10</f>
        <v>192823</v>
      </c>
      <c r="W25" s="27">
        <v>0.625</v>
      </c>
      <c r="X25">
        <f t="shared" ref="X25:X38" si="2">V25/W25</f>
        <v>308516.8</v>
      </c>
      <c r="Y25">
        <f>AVERAGE(X25:X27)</f>
        <v>304817.2268964898</v>
      </c>
      <c r="Z25">
        <f>X25/$Y$25</f>
        <v>1.0121370210639915</v>
      </c>
    </row>
    <row r="26" spans="2:31" x14ac:dyDescent="0.25">
      <c r="C26" s="159"/>
      <c r="D26" s="11">
        <v>2</v>
      </c>
      <c r="E26">
        <f>AVERAGE(E20:F20)</f>
        <v>1806893</v>
      </c>
      <c r="F26">
        <f t="shared" si="0"/>
        <v>1802799</v>
      </c>
      <c r="G26">
        <f t="shared" ref="G26:G38" si="3">F26/10</f>
        <v>180279.9</v>
      </c>
      <c r="H26">
        <v>1.3360000000000001</v>
      </c>
      <c r="I26">
        <f t="shared" ref="I26:I38" si="4">G26/H26</f>
        <v>134940.04491017963</v>
      </c>
      <c r="K26">
        <f t="shared" ref="K26:K38" si="5">I26/$J$25</f>
        <v>1.0103098604705305</v>
      </c>
      <c r="R26" s="159"/>
      <c r="S26" s="11">
        <v>2</v>
      </c>
      <c r="T26">
        <f>AVERAGE(T17:U17)</f>
        <v>1603808</v>
      </c>
      <c r="U26">
        <f t="shared" ref="U26:U38" si="6">T26-$AE$20</f>
        <v>1600076</v>
      </c>
      <c r="V26">
        <f t="shared" si="1"/>
        <v>160007.6</v>
      </c>
      <c r="W26" s="27">
        <v>0.58749999999999991</v>
      </c>
      <c r="X26">
        <f t="shared" si="2"/>
        <v>272353.36170212773</v>
      </c>
      <c r="Z26">
        <f t="shared" ref="Z26:Z37" si="7">X26/$Y$25</f>
        <v>0.89349727531841172</v>
      </c>
    </row>
    <row r="27" spans="2:31" x14ac:dyDescent="0.25">
      <c r="C27" s="159"/>
      <c r="D27" s="11">
        <v>3</v>
      </c>
      <c r="E27">
        <f>AVERAGE(E19:F19)</f>
        <v>1826124</v>
      </c>
      <c r="F27">
        <f t="shared" si="0"/>
        <v>1822030</v>
      </c>
      <c r="G27">
        <f t="shared" si="3"/>
        <v>182203</v>
      </c>
      <c r="H27">
        <v>1.5529999999999999</v>
      </c>
      <c r="I27">
        <f t="shared" si="4"/>
        <v>117323.24533161623</v>
      </c>
      <c r="K27">
        <f t="shared" si="5"/>
        <v>0.87841108767848886</v>
      </c>
      <c r="R27" s="159"/>
      <c r="S27" s="11">
        <v>3</v>
      </c>
      <c r="T27">
        <f>AVERAGE(T20:U20)</f>
        <v>1980202.5</v>
      </c>
      <c r="U27">
        <f t="shared" si="6"/>
        <v>1976470.5</v>
      </c>
      <c r="V27">
        <f t="shared" si="1"/>
        <v>197647.05</v>
      </c>
      <c r="W27" s="27">
        <v>0.59250000000000003</v>
      </c>
      <c r="X27">
        <f t="shared" si="2"/>
        <v>333581.51898734173</v>
      </c>
      <c r="Z27">
        <f t="shared" si="7"/>
        <v>1.0943657036175969</v>
      </c>
    </row>
    <row r="28" spans="2:31" x14ac:dyDescent="0.25">
      <c r="C28" s="159" t="s">
        <v>28</v>
      </c>
      <c r="D28" s="11">
        <v>1</v>
      </c>
      <c r="E28">
        <f>AVERAGE(G16:H16)</f>
        <v>1441044</v>
      </c>
      <c r="F28">
        <f t="shared" si="0"/>
        <v>1436950</v>
      </c>
      <c r="G28">
        <f t="shared" si="3"/>
        <v>143695</v>
      </c>
      <c r="H28">
        <v>1.3629999999999998</v>
      </c>
      <c r="I28">
        <f t="shared" si="4"/>
        <v>105425.53191489364</v>
      </c>
      <c r="K28">
        <f t="shared" si="5"/>
        <v>0.78933169549384496</v>
      </c>
      <c r="R28" s="159" t="s">
        <v>238</v>
      </c>
      <c r="S28" s="11">
        <v>1</v>
      </c>
      <c r="T28">
        <f>AVERAGE(V15:W15)</f>
        <v>2099550</v>
      </c>
      <c r="U28">
        <f t="shared" si="6"/>
        <v>2095818</v>
      </c>
      <c r="V28">
        <f t="shared" si="1"/>
        <v>209581.8</v>
      </c>
      <c r="W28" s="27">
        <v>0.59249999999999992</v>
      </c>
      <c r="X28">
        <f t="shared" si="2"/>
        <v>353724.55696202535</v>
      </c>
      <c r="Z28">
        <f t="shared" si="7"/>
        <v>1.160448051324027</v>
      </c>
    </row>
    <row r="29" spans="2:31" x14ac:dyDescent="0.25">
      <c r="C29" s="159"/>
      <c r="D29" s="11">
        <v>2</v>
      </c>
      <c r="E29">
        <f>AVERAGE(G18:H18)</f>
        <v>1378372</v>
      </c>
      <c r="F29">
        <f t="shared" si="0"/>
        <v>1374278</v>
      </c>
      <c r="G29">
        <f t="shared" si="3"/>
        <v>137427.79999999999</v>
      </c>
      <c r="H29">
        <v>1.4229999999999998</v>
      </c>
      <c r="I29">
        <f t="shared" si="4"/>
        <v>96576.106816584681</v>
      </c>
      <c r="K29">
        <f t="shared" si="5"/>
        <v>0.72307514843053156</v>
      </c>
      <c r="R29" s="159"/>
      <c r="S29" s="11">
        <v>2</v>
      </c>
      <c r="T29">
        <f>AVERAGE(V17:W17)</f>
        <v>3172163</v>
      </c>
      <c r="U29">
        <f t="shared" si="6"/>
        <v>3168431</v>
      </c>
      <c r="V29">
        <f t="shared" si="1"/>
        <v>316843.09999999998</v>
      </c>
      <c r="W29" s="27">
        <v>0.64249999999999996</v>
      </c>
      <c r="X29">
        <f t="shared" si="2"/>
        <v>493141.01167315175</v>
      </c>
      <c r="Z29">
        <f t="shared" si="7"/>
        <v>1.6178252676008142</v>
      </c>
    </row>
    <row r="30" spans="2:31" x14ac:dyDescent="0.25">
      <c r="C30" s="159"/>
      <c r="D30" s="11">
        <v>3</v>
      </c>
      <c r="E30">
        <f>AVERAGE(G20:H20)</f>
        <v>1535696</v>
      </c>
      <c r="F30">
        <f t="shared" si="0"/>
        <v>1531602</v>
      </c>
      <c r="G30">
        <f t="shared" si="3"/>
        <v>153160.20000000001</v>
      </c>
      <c r="H30">
        <v>1.4129999999999998</v>
      </c>
      <c r="I30">
        <f t="shared" si="4"/>
        <v>108393.63057324843</v>
      </c>
      <c r="K30">
        <f t="shared" si="5"/>
        <v>0.81155415246265084</v>
      </c>
      <c r="R30" s="159"/>
      <c r="S30" s="11">
        <v>3</v>
      </c>
      <c r="T30">
        <f>AVERAGE(V18:W18)</f>
        <v>3287335</v>
      </c>
      <c r="U30">
        <f t="shared" si="6"/>
        <v>3283603</v>
      </c>
      <c r="V30">
        <f t="shared" si="1"/>
        <v>328360.3</v>
      </c>
      <c r="W30" s="27">
        <v>0.83</v>
      </c>
      <c r="X30">
        <f t="shared" si="2"/>
        <v>395614.81927710841</v>
      </c>
      <c r="Z30">
        <f t="shared" si="7"/>
        <v>1.2978755279190692</v>
      </c>
    </row>
    <row r="31" spans="2:31" x14ac:dyDescent="0.25">
      <c r="C31" s="159" t="s">
        <v>29</v>
      </c>
      <c r="D31" s="11">
        <v>1</v>
      </c>
      <c r="E31">
        <f>AVERAGE(I15:J15)</f>
        <v>1621008</v>
      </c>
      <c r="F31">
        <f t="shared" si="0"/>
        <v>1616914</v>
      </c>
      <c r="G31">
        <f t="shared" si="3"/>
        <v>161691.4</v>
      </c>
      <c r="H31">
        <v>1.3479999999999999</v>
      </c>
      <c r="I31">
        <f t="shared" si="4"/>
        <v>119949.10979228487</v>
      </c>
      <c r="K31">
        <f t="shared" si="5"/>
        <v>0.89807120235118321</v>
      </c>
      <c r="R31" s="159" t="s">
        <v>239</v>
      </c>
      <c r="S31" s="11">
        <v>1</v>
      </c>
      <c r="T31">
        <f>AVERAGE(X15:Y15)</f>
        <v>3615758</v>
      </c>
      <c r="U31">
        <f t="shared" si="6"/>
        <v>3612026</v>
      </c>
      <c r="V31">
        <f t="shared" si="1"/>
        <v>361202.6</v>
      </c>
      <c r="W31" s="27">
        <v>0.72999999999999987</v>
      </c>
      <c r="X31">
        <f t="shared" si="2"/>
        <v>494798.08219178085</v>
      </c>
      <c r="Z31">
        <f t="shared" si="7"/>
        <v>1.6232615434159992</v>
      </c>
    </row>
    <row r="32" spans="2:31" x14ac:dyDescent="0.25">
      <c r="C32" s="159"/>
      <c r="D32" s="11">
        <v>2</v>
      </c>
      <c r="E32">
        <f>AVERAGE(I16:J16)</f>
        <v>1644231.5</v>
      </c>
      <c r="F32">
        <f t="shared" si="0"/>
        <v>1640137.5</v>
      </c>
      <c r="G32">
        <f t="shared" si="3"/>
        <v>164013.75</v>
      </c>
      <c r="H32">
        <v>1.3679999999999999</v>
      </c>
      <c r="I32">
        <f t="shared" si="4"/>
        <v>119893.09210526317</v>
      </c>
      <c r="K32">
        <f t="shared" si="5"/>
        <v>0.89765179222280778</v>
      </c>
      <c r="R32" s="159"/>
      <c r="S32" s="11">
        <v>2</v>
      </c>
      <c r="T32">
        <f>AVERAGE(X16:Y16)</f>
        <v>3570281.5</v>
      </c>
      <c r="U32">
        <f t="shared" si="6"/>
        <v>3566549.5</v>
      </c>
      <c r="V32">
        <f t="shared" si="1"/>
        <v>356654.95</v>
      </c>
      <c r="W32" s="27">
        <v>0.77249999999999996</v>
      </c>
      <c r="X32">
        <f t="shared" si="2"/>
        <v>461689.25566343043</v>
      </c>
      <c r="Z32">
        <f t="shared" si="7"/>
        <v>1.5146429234467493</v>
      </c>
    </row>
    <row r="33" spans="3:26" x14ac:dyDescent="0.25">
      <c r="C33" s="159"/>
      <c r="D33" s="11">
        <v>3</v>
      </c>
      <c r="E33">
        <f>AVERAGE(I17:J17)</f>
        <v>1859075</v>
      </c>
      <c r="F33">
        <f t="shared" si="0"/>
        <v>1854981</v>
      </c>
      <c r="G33">
        <f t="shared" si="3"/>
        <v>185498.1</v>
      </c>
      <c r="H33">
        <v>1.4279999999999997</v>
      </c>
      <c r="I33">
        <f t="shared" si="4"/>
        <v>129900.63025210088</v>
      </c>
      <c r="K33">
        <f t="shared" si="5"/>
        <v>0.97257924963928577</v>
      </c>
      <c r="R33" s="159"/>
      <c r="S33" s="11">
        <v>3</v>
      </c>
      <c r="T33">
        <f>AVERAGE(X18:Y18)</f>
        <v>3142471</v>
      </c>
      <c r="U33">
        <f t="shared" si="6"/>
        <v>3138739</v>
      </c>
      <c r="V33">
        <f t="shared" si="1"/>
        <v>313873.90000000002</v>
      </c>
      <c r="W33" s="27">
        <v>0.64749999999999996</v>
      </c>
      <c r="X33">
        <f t="shared" si="2"/>
        <v>484747.33590733598</v>
      </c>
      <c r="Z33">
        <f t="shared" si="7"/>
        <v>1.5902885176235366</v>
      </c>
    </row>
    <row r="34" spans="3:26" x14ac:dyDescent="0.25">
      <c r="C34" s="159"/>
      <c r="D34" s="11">
        <v>4</v>
      </c>
      <c r="E34">
        <f>AVERAGE(I20:J20)</f>
        <v>1428434</v>
      </c>
      <c r="F34">
        <f t="shared" si="0"/>
        <v>1424340</v>
      </c>
      <c r="G34">
        <f t="shared" si="3"/>
        <v>142434</v>
      </c>
      <c r="H34">
        <v>1.1579999999999997</v>
      </c>
      <c r="I34">
        <f t="shared" si="4"/>
        <v>123000.00000000003</v>
      </c>
      <c r="K34">
        <f t="shared" si="5"/>
        <v>0.92091352808272808</v>
      </c>
      <c r="R34" s="159"/>
      <c r="S34" s="11">
        <v>4</v>
      </c>
      <c r="T34">
        <f>AVERAGE(X19:Y19)</f>
        <v>3817689</v>
      </c>
      <c r="U34">
        <f t="shared" si="6"/>
        <v>3813957</v>
      </c>
      <c r="V34">
        <f t="shared" si="1"/>
        <v>381395.7</v>
      </c>
      <c r="W34" s="27">
        <v>0.72499999999999987</v>
      </c>
      <c r="X34">
        <f t="shared" si="2"/>
        <v>526063.03448275873</v>
      </c>
      <c r="Z34">
        <f t="shared" si="7"/>
        <v>1.7258310491139002</v>
      </c>
    </row>
    <row r="35" spans="3:26" x14ac:dyDescent="0.25">
      <c r="C35" s="159" t="s">
        <v>30</v>
      </c>
      <c r="D35" s="11">
        <v>1</v>
      </c>
      <c r="E35">
        <f>AVERAGE(K16:L16)</f>
        <v>1800514</v>
      </c>
      <c r="F35">
        <f t="shared" si="0"/>
        <v>1796420</v>
      </c>
      <c r="G35">
        <f t="shared" si="3"/>
        <v>179642</v>
      </c>
      <c r="H35">
        <v>1.4529999999999998</v>
      </c>
      <c r="I35">
        <f t="shared" si="4"/>
        <v>123635.23743977978</v>
      </c>
      <c r="K35">
        <f t="shared" si="5"/>
        <v>0.92566961549604365</v>
      </c>
      <c r="R35" s="159"/>
      <c r="S35" s="11">
        <v>5</v>
      </c>
      <c r="T35">
        <f>AVERAGE(X20:Y20)</f>
        <v>3574850.5</v>
      </c>
      <c r="U35">
        <f t="shared" si="6"/>
        <v>3571118.5</v>
      </c>
      <c r="V35">
        <f t="shared" si="1"/>
        <v>357111.85</v>
      </c>
      <c r="W35" s="27">
        <v>0.68499999999999983</v>
      </c>
      <c r="X35">
        <f t="shared" si="2"/>
        <v>521331.16788321175</v>
      </c>
      <c r="Z35">
        <f t="shared" si="7"/>
        <v>1.7103074297708443</v>
      </c>
    </row>
    <row r="36" spans="3:26" x14ac:dyDescent="0.25">
      <c r="C36" s="159"/>
      <c r="D36" s="11">
        <v>2</v>
      </c>
      <c r="E36">
        <f>AVERAGE(K18:L18)</f>
        <v>1181909</v>
      </c>
      <c r="F36">
        <f t="shared" si="0"/>
        <v>1177815</v>
      </c>
      <c r="G36">
        <f t="shared" si="3"/>
        <v>117781.5</v>
      </c>
      <c r="H36">
        <v>1.3429999999999997</v>
      </c>
      <c r="I36">
        <f t="shared" si="4"/>
        <v>87700.297840655272</v>
      </c>
      <c r="K36">
        <f t="shared" si="5"/>
        <v>0.65662106258816166</v>
      </c>
      <c r="R36" s="159" t="s">
        <v>240</v>
      </c>
      <c r="S36" s="11">
        <v>1</v>
      </c>
      <c r="T36">
        <f>AVERAGE(Z15:AA15)</f>
        <v>3222222.5</v>
      </c>
      <c r="U36">
        <f t="shared" si="6"/>
        <v>3218490.5</v>
      </c>
      <c r="V36">
        <f t="shared" si="1"/>
        <v>321849.05</v>
      </c>
      <c r="W36" s="27">
        <v>0.75249999999999984</v>
      </c>
      <c r="X36">
        <f t="shared" si="2"/>
        <v>427706.37873754161</v>
      </c>
      <c r="Z36">
        <f t="shared" si="7"/>
        <v>1.4031568461279345</v>
      </c>
    </row>
    <row r="37" spans="3:26" x14ac:dyDescent="0.25">
      <c r="C37" s="159"/>
      <c r="D37" s="11">
        <v>3</v>
      </c>
      <c r="E37">
        <f>AVERAGE(K19:L19)</f>
        <v>1695513</v>
      </c>
      <c r="F37">
        <f t="shared" si="0"/>
        <v>1691419</v>
      </c>
      <c r="G37">
        <f t="shared" si="3"/>
        <v>169141.9</v>
      </c>
      <c r="H37">
        <v>1.3829999999999998</v>
      </c>
      <c r="I37">
        <f t="shared" si="4"/>
        <v>122300.723065799</v>
      </c>
      <c r="K37">
        <f t="shared" si="5"/>
        <v>0.91567797045198052</v>
      </c>
      <c r="R37" s="159"/>
      <c r="S37" s="11">
        <v>2</v>
      </c>
      <c r="T37">
        <f>AVERAGE(Z16:AA16)</f>
        <v>3221450</v>
      </c>
      <c r="U37">
        <f t="shared" si="6"/>
        <v>3217718</v>
      </c>
      <c r="V37">
        <f t="shared" si="1"/>
        <v>321771.8</v>
      </c>
      <c r="W37" s="27">
        <v>0.65500000000000003</v>
      </c>
      <c r="X37">
        <f t="shared" si="2"/>
        <v>491254.6564885496</v>
      </c>
      <c r="Z37">
        <f t="shared" si="7"/>
        <v>1.6116367880197613</v>
      </c>
    </row>
    <row r="38" spans="3:26" x14ac:dyDescent="0.25">
      <c r="C38" s="159"/>
      <c r="D38" s="11">
        <v>4</v>
      </c>
      <c r="E38">
        <f>AVERAGE(K20:L20)</f>
        <v>1781640.5</v>
      </c>
      <c r="F38">
        <f t="shared" si="0"/>
        <v>1777546.5</v>
      </c>
      <c r="G38">
        <f t="shared" si="3"/>
        <v>177754.65</v>
      </c>
      <c r="H38">
        <v>1.3629999999999998</v>
      </c>
      <c r="I38">
        <f t="shared" si="4"/>
        <v>130414.26999266326</v>
      </c>
      <c r="K38">
        <f t="shared" si="5"/>
        <v>0.97642492269330849</v>
      </c>
      <c r="R38" s="159"/>
      <c r="S38" s="11">
        <v>3</v>
      </c>
      <c r="T38">
        <f>AVERAGE(Z17:AA17)</f>
        <v>3339953</v>
      </c>
      <c r="U38">
        <f t="shared" si="6"/>
        <v>3336221</v>
      </c>
      <c r="V38">
        <f t="shared" si="1"/>
        <v>333622.09999999998</v>
      </c>
      <c r="W38" s="27">
        <v>0.82250000000000001</v>
      </c>
      <c r="X38">
        <f t="shared" si="2"/>
        <v>405619.57446808508</v>
      </c>
      <c r="Z38">
        <f>X38/$Y$25</f>
        <v>1.3306976728248561</v>
      </c>
    </row>
    <row r="39" spans="3:26" x14ac:dyDescent="0.25">
      <c r="R39" s="29"/>
    </row>
  </sheetData>
  <mergeCells count="8">
    <mergeCell ref="C25:C27"/>
    <mergeCell ref="R25:R27"/>
    <mergeCell ref="C28:C30"/>
    <mergeCell ref="R28:R30"/>
    <mergeCell ref="C31:C34"/>
    <mergeCell ref="R31:R35"/>
    <mergeCell ref="C35:C38"/>
    <mergeCell ref="R36:R3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1D62-949C-40AE-B0F5-A9BFD504D2B1}">
  <dimension ref="B3:R29"/>
  <sheetViews>
    <sheetView workbookViewId="0">
      <selection activeCell="C34" sqref="C34"/>
    </sheetView>
  </sheetViews>
  <sheetFormatPr defaultRowHeight="15" x14ac:dyDescent="0.25"/>
  <cols>
    <col min="2" max="2" width="16.85546875" customWidth="1"/>
    <col min="3" max="3" width="14.7109375" customWidth="1"/>
    <col min="4" max="5" width="9.140625" customWidth="1"/>
    <col min="6" max="6" width="13.85546875" customWidth="1"/>
    <col min="7" max="7" width="23.140625" customWidth="1"/>
    <col min="8" max="8" width="15.42578125" customWidth="1"/>
    <col min="9" max="9" width="23.42578125" customWidth="1"/>
    <col min="10" max="10" width="18.42578125" customWidth="1"/>
    <col min="11" max="11" width="17.85546875" customWidth="1"/>
    <col min="12" max="12" width="20.28515625" customWidth="1"/>
    <col min="13" max="13" width="15.28515625" customWidth="1"/>
    <col min="14" max="14" width="17" customWidth="1"/>
    <col min="15" max="15" width="16.7109375" customWidth="1"/>
    <col min="16" max="16" width="20.5703125" customWidth="1"/>
    <col min="17" max="17" width="23.140625" customWidth="1"/>
    <col min="18" max="18" width="15.5703125" customWidth="1"/>
    <col min="21" max="21" width="12" bestFit="1" customWidth="1"/>
    <col min="22" max="22" width="16.85546875" customWidth="1"/>
    <col min="23" max="23" width="15" customWidth="1"/>
    <col min="25" max="25" width="10.140625" customWidth="1"/>
    <col min="26" max="26" width="12.42578125" customWidth="1"/>
    <col min="28" max="28" width="13.85546875" customWidth="1"/>
    <col min="29" max="29" width="11.85546875" customWidth="1"/>
  </cols>
  <sheetData>
    <row r="3" spans="2:18" x14ac:dyDescent="0.25">
      <c r="B3" t="s">
        <v>116</v>
      </c>
      <c r="Q3" t="s">
        <v>116</v>
      </c>
    </row>
    <row r="4" spans="2:18" x14ac:dyDescent="0.25">
      <c r="B4" t="s">
        <v>31</v>
      </c>
      <c r="Q4" t="s">
        <v>31</v>
      </c>
    </row>
    <row r="5" spans="2:18" x14ac:dyDescent="0.25">
      <c r="B5" t="s">
        <v>242</v>
      </c>
      <c r="Q5" t="s">
        <v>243</v>
      </c>
    </row>
    <row r="6" spans="2:18" x14ac:dyDescent="0.25">
      <c r="B6" t="s">
        <v>244</v>
      </c>
      <c r="Q6" t="s">
        <v>244</v>
      </c>
    </row>
    <row r="7" spans="2:18" x14ac:dyDescent="0.25">
      <c r="B7" t="s">
        <v>223</v>
      </c>
      <c r="Q7" t="s">
        <v>223</v>
      </c>
    </row>
    <row r="8" spans="2:18" x14ac:dyDescent="0.25">
      <c r="B8" t="s">
        <v>245</v>
      </c>
      <c r="Q8" t="s">
        <v>246</v>
      </c>
    </row>
    <row r="9" spans="2:18" x14ac:dyDescent="0.25">
      <c r="B9" t="s">
        <v>247</v>
      </c>
      <c r="Q9" t="s">
        <v>247</v>
      </c>
    </row>
    <row r="11" spans="2:18" x14ac:dyDescent="0.25">
      <c r="E11" s="11"/>
      <c r="F11" s="11"/>
      <c r="G11" s="11"/>
      <c r="R11" s="29"/>
    </row>
    <row r="12" spans="2:18" x14ac:dyDescent="0.25">
      <c r="E12" s="11"/>
      <c r="F12" s="11"/>
      <c r="G12" s="11"/>
    </row>
    <row r="13" spans="2:18" x14ac:dyDescent="0.25">
      <c r="B13" s="1"/>
      <c r="E13" s="11" t="s">
        <v>253</v>
      </c>
      <c r="F13" s="11" t="s">
        <v>254</v>
      </c>
      <c r="G13" s="11" t="s">
        <v>255</v>
      </c>
      <c r="H13" s="11" t="s">
        <v>256</v>
      </c>
      <c r="I13" s="11" t="s">
        <v>257</v>
      </c>
      <c r="M13" s="1" t="s">
        <v>253</v>
      </c>
      <c r="N13" s="11" t="s">
        <v>254</v>
      </c>
      <c r="O13" s="11" t="s">
        <v>258</v>
      </c>
      <c r="P13" s="11" t="s">
        <v>256</v>
      </c>
      <c r="Q13" s="11" t="s">
        <v>257</v>
      </c>
    </row>
    <row r="14" spans="2:18" x14ac:dyDescent="0.25">
      <c r="B14" s="1"/>
      <c r="C14" s="159" t="s">
        <v>27</v>
      </c>
      <c r="D14" s="11">
        <v>1</v>
      </c>
      <c r="E14" s="27">
        <v>0.30303030303030298</v>
      </c>
      <c r="F14">
        <v>1822310.5</v>
      </c>
      <c r="G14">
        <f>E14/F14</f>
        <v>1.6628906162276022E-7</v>
      </c>
      <c r="H14">
        <f>AVERAGE(G14:G16)</f>
        <v>1.7375336007513126E-7</v>
      </c>
      <c r="I14" s="28">
        <f>G14/$H$14</f>
        <v>0.95704083967559839</v>
      </c>
      <c r="K14" s="159" t="s">
        <v>237</v>
      </c>
      <c r="L14" s="11">
        <v>1</v>
      </c>
      <c r="M14" s="3">
        <v>0.79999999999999982</v>
      </c>
      <c r="N14">
        <v>308516.8</v>
      </c>
      <c r="O14">
        <f>M14/N14</f>
        <v>2.5930516587751457E-6</v>
      </c>
      <c r="P14">
        <f>AVERAGE(O14:O16)</f>
        <v>2.5260828623301486E-6</v>
      </c>
      <c r="Q14" s="180">
        <v>1.03</v>
      </c>
    </row>
    <row r="15" spans="2:18" x14ac:dyDescent="0.25">
      <c r="B15" s="1"/>
      <c r="C15" s="159"/>
      <c r="D15" s="11">
        <v>2</v>
      </c>
      <c r="E15" s="27">
        <v>0.26515151515151536</v>
      </c>
      <c r="F15">
        <v>1802799</v>
      </c>
      <c r="G15">
        <f t="shared" ref="G15:G27" si="0">E15/F15</f>
        <v>1.4707769149612097E-7</v>
      </c>
      <c r="I15" s="28">
        <f t="shared" ref="I15:I27" si="1">G15/$H$14</f>
        <v>0.84647394118032782</v>
      </c>
      <c r="K15" s="159"/>
      <c r="L15" s="11">
        <v>2</v>
      </c>
      <c r="M15" s="3">
        <v>0.72013093289689012</v>
      </c>
      <c r="N15">
        <v>272353.36170212773</v>
      </c>
      <c r="O15">
        <f t="shared" ref="O15:O27" si="2">M15/N15</f>
        <v>2.6441051742349917E-6</v>
      </c>
      <c r="Q15" s="180">
        <v>1.05</v>
      </c>
    </row>
    <row r="16" spans="2:18" x14ac:dyDescent="0.25">
      <c r="B16" s="1"/>
      <c r="C16" s="159"/>
      <c r="D16" s="11">
        <v>3</v>
      </c>
      <c r="E16" s="27">
        <v>0.37878787878787912</v>
      </c>
      <c r="F16">
        <v>1822030</v>
      </c>
      <c r="G16">
        <f t="shared" si="0"/>
        <v>2.0789332710651258E-7</v>
      </c>
      <c r="I16" s="28">
        <f t="shared" si="1"/>
        <v>1.1964852191440738</v>
      </c>
      <c r="K16" s="159"/>
      <c r="L16" s="11">
        <v>3</v>
      </c>
      <c r="M16" s="3">
        <v>0.78094494338149123</v>
      </c>
      <c r="N16">
        <v>333581.51898734173</v>
      </c>
      <c r="O16">
        <f t="shared" si="2"/>
        <v>2.341091753980308E-6</v>
      </c>
      <c r="Q16" s="180">
        <v>0.92700000000000005</v>
      </c>
    </row>
    <row r="17" spans="2:17" x14ac:dyDescent="0.25">
      <c r="B17" s="1"/>
      <c r="C17" s="159" t="s">
        <v>28</v>
      </c>
      <c r="D17" s="11">
        <v>1</v>
      </c>
      <c r="E17" s="27">
        <v>0.39015151515151525</v>
      </c>
      <c r="F17">
        <v>1436950</v>
      </c>
      <c r="G17">
        <f t="shared" si="0"/>
        <v>2.7151363314764973E-7</v>
      </c>
      <c r="I17" s="28">
        <f t="shared" si="1"/>
        <v>1.5626381730416423</v>
      </c>
      <c r="K17" s="159" t="s">
        <v>238</v>
      </c>
      <c r="L17" s="11">
        <v>1</v>
      </c>
      <c r="M17">
        <v>0.71405387861084046</v>
      </c>
      <c r="N17">
        <v>353724.55696202535</v>
      </c>
      <c r="O17">
        <f t="shared" si="2"/>
        <v>2.0186720558603989E-6</v>
      </c>
      <c r="Q17" s="180">
        <v>0.79900000000000004</v>
      </c>
    </row>
    <row r="18" spans="2:17" x14ac:dyDescent="0.25">
      <c r="B18" s="1"/>
      <c r="C18" s="159"/>
      <c r="D18" s="11">
        <v>2</v>
      </c>
      <c r="E18" s="27">
        <v>0.3560606060606068</v>
      </c>
      <c r="F18">
        <v>674278</v>
      </c>
      <c r="G18">
        <f t="shared" si="0"/>
        <v>5.2806202495203281E-7</v>
      </c>
      <c r="I18" s="28">
        <f t="shared" si="1"/>
        <v>3.0391471262696612</v>
      </c>
      <c r="K18" s="159"/>
      <c r="L18" s="11">
        <v>2</v>
      </c>
      <c r="M18">
        <v>0.59862316671655169</v>
      </c>
      <c r="N18">
        <v>493141.01167315175</v>
      </c>
      <c r="O18">
        <f t="shared" si="2"/>
        <v>1.2138985656161819E-6</v>
      </c>
      <c r="Q18" s="180">
        <v>0.48099999999999998</v>
      </c>
    </row>
    <row r="19" spans="2:17" x14ac:dyDescent="0.25">
      <c r="B19" s="1"/>
      <c r="C19" s="159"/>
      <c r="D19" s="11">
        <v>3</v>
      </c>
      <c r="E19" s="27">
        <v>0.53030303030303072</v>
      </c>
      <c r="F19">
        <v>1261098</v>
      </c>
      <c r="G19">
        <f t="shared" si="0"/>
        <v>4.2050897733802665E-7</v>
      </c>
      <c r="I19" s="28">
        <f t="shared" si="1"/>
        <v>2.4201487508281732</v>
      </c>
      <c r="K19" s="159"/>
      <c r="L19" s="11">
        <v>3</v>
      </c>
      <c r="M19">
        <v>0.97312326227988832</v>
      </c>
      <c r="N19">
        <v>395614.81927710841</v>
      </c>
      <c r="O19">
        <f t="shared" si="2"/>
        <v>2.4597745454986712E-6</v>
      </c>
      <c r="Q19" s="180">
        <v>0.97399999999999998</v>
      </c>
    </row>
    <row r="20" spans="2:17" x14ac:dyDescent="0.25">
      <c r="B20" s="1"/>
      <c r="C20" s="159" t="s">
        <v>29</v>
      </c>
      <c r="D20" s="11">
        <v>1</v>
      </c>
      <c r="E20" s="27">
        <v>0.49242424242424282</v>
      </c>
      <c r="F20">
        <v>1616914</v>
      </c>
      <c r="G20">
        <f t="shared" si="0"/>
        <v>3.0454572254569066E-7</v>
      </c>
      <c r="I20" s="28">
        <f t="shared" si="1"/>
        <v>1.7527472413425822</v>
      </c>
      <c r="K20" s="159" t="s">
        <v>239</v>
      </c>
      <c r="L20" s="11">
        <v>1</v>
      </c>
      <c r="M20">
        <v>0.68493150684931503</v>
      </c>
      <c r="N20">
        <v>494798.08219178085</v>
      </c>
      <c r="O20">
        <f t="shared" si="2"/>
        <v>1.3842646758356665E-6</v>
      </c>
      <c r="Q20" s="180">
        <v>0.54800000000000004</v>
      </c>
    </row>
    <row r="21" spans="2:17" x14ac:dyDescent="0.25">
      <c r="B21" s="1"/>
      <c r="C21" s="159"/>
      <c r="D21" s="11">
        <v>2</v>
      </c>
      <c r="E21" s="27">
        <v>0.56818181818181868</v>
      </c>
      <c r="F21">
        <v>1640137.5</v>
      </c>
      <c r="G21">
        <f t="shared" si="0"/>
        <v>3.4642328352459392E-7</v>
      </c>
      <c r="I21" s="28">
        <f t="shared" si="1"/>
        <v>1.9937645141066618</v>
      </c>
      <c r="K21" s="159"/>
      <c r="L21" s="11">
        <v>2</v>
      </c>
      <c r="M21">
        <v>0.8464027881503603</v>
      </c>
      <c r="N21">
        <v>461689.25566343043</v>
      </c>
      <c r="O21">
        <f t="shared" si="2"/>
        <v>1.8332737393555124E-6</v>
      </c>
      <c r="Q21" s="180">
        <v>0.72599999999999998</v>
      </c>
    </row>
    <row r="22" spans="2:17" x14ac:dyDescent="0.25">
      <c r="B22" s="1"/>
      <c r="C22" s="159"/>
      <c r="D22" s="11">
        <v>3</v>
      </c>
      <c r="E22" s="27">
        <v>0.60606060606060652</v>
      </c>
      <c r="F22">
        <v>1854981</v>
      </c>
      <c r="G22">
        <f t="shared" si="0"/>
        <v>3.2672065431430644E-7</v>
      </c>
      <c r="I22" s="28">
        <f t="shared" si="1"/>
        <v>1.880370279878512</v>
      </c>
      <c r="K22" s="159"/>
      <c r="L22" s="11">
        <v>3</v>
      </c>
      <c r="M22">
        <v>0.71280071280071267</v>
      </c>
      <c r="N22">
        <v>484747.33590733598</v>
      </c>
      <c r="O22">
        <f t="shared" si="2"/>
        <v>1.4704582366946132E-6</v>
      </c>
      <c r="Q22" s="180">
        <v>0.58199999999999996</v>
      </c>
    </row>
    <row r="23" spans="2:17" x14ac:dyDescent="0.25">
      <c r="B23" s="1"/>
      <c r="C23" s="159"/>
      <c r="D23" s="11">
        <v>4</v>
      </c>
      <c r="E23" s="27">
        <v>0.5113636363636368</v>
      </c>
      <c r="F23">
        <v>1424340</v>
      </c>
      <c r="G23">
        <f t="shared" si="0"/>
        <v>3.5901795664211973E-7</v>
      </c>
      <c r="I23" s="28">
        <f t="shared" si="1"/>
        <v>2.0662504396282162</v>
      </c>
      <c r="K23" s="159"/>
      <c r="L23" s="11">
        <v>4</v>
      </c>
      <c r="M23">
        <v>0.74270557029177731</v>
      </c>
      <c r="N23">
        <v>526063.03448275873</v>
      </c>
      <c r="O23">
        <f t="shared" si="2"/>
        <v>1.4118185875235049E-6</v>
      </c>
      <c r="Q23" s="180">
        <v>0.55900000000000005</v>
      </c>
    </row>
    <row r="24" spans="2:17" x14ac:dyDescent="0.25">
      <c r="B24" s="1"/>
      <c r="C24" s="159" t="s">
        <v>30</v>
      </c>
      <c r="D24" s="11">
        <v>1</v>
      </c>
      <c r="E24" s="27">
        <v>0.60606060606060652</v>
      </c>
      <c r="F24">
        <v>1796420</v>
      </c>
      <c r="G24">
        <f t="shared" si="0"/>
        <v>3.3737133079157798E-7</v>
      </c>
      <c r="I24" s="28">
        <f t="shared" si="1"/>
        <v>1.9416679518928326</v>
      </c>
      <c r="K24" s="159"/>
      <c r="L24" s="11">
        <v>5</v>
      </c>
      <c r="M24">
        <v>0.7860752386299833</v>
      </c>
      <c r="N24">
        <v>521331.16788321175</v>
      </c>
      <c r="O24">
        <f t="shared" si="2"/>
        <v>1.5078232169039994E-6</v>
      </c>
      <c r="Q24" s="180">
        <v>0.59699999999999998</v>
      </c>
    </row>
    <row r="25" spans="2:17" x14ac:dyDescent="0.25">
      <c r="B25" s="1"/>
      <c r="C25" s="159"/>
      <c r="D25" s="11">
        <v>2</v>
      </c>
      <c r="E25" s="27">
        <v>0.60606060606060652</v>
      </c>
      <c r="F25">
        <v>1177815</v>
      </c>
      <c r="G25">
        <f t="shared" si="0"/>
        <v>5.1456349771450231E-7</v>
      </c>
      <c r="I25" s="28">
        <f t="shared" si="1"/>
        <v>2.9614592632453505</v>
      </c>
      <c r="K25" s="159" t="s">
        <v>240</v>
      </c>
      <c r="L25" s="11">
        <v>1</v>
      </c>
      <c r="M25">
        <v>0.81778686429849246</v>
      </c>
      <c r="N25">
        <v>427706.37873754161</v>
      </c>
      <c r="O25">
        <f t="shared" si="2"/>
        <v>1.9120286835851012E-6</v>
      </c>
      <c r="Q25" s="180">
        <v>0.75700000000000001</v>
      </c>
    </row>
    <row r="26" spans="2:17" x14ac:dyDescent="0.25">
      <c r="B26" s="1"/>
      <c r="C26" s="159"/>
      <c r="D26" s="11">
        <v>3</v>
      </c>
      <c r="E26" s="27">
        <v>0.54924242424242475</v>
      </c>
      <c r="F26">
        <v>1691419</v>
      </c>
      <c r="G26">
        <f t="shared" si="0"/>
        <v>3.2472286538251301E-7</v>
      </c>
      <c r="I26" s="28">
        <f t="shared" si="1"/>
        <v>1.8688724364357747</v>
      </c>
      <c r="K26" s="159"/>
      <c r="L26" s="11">
        <v>2</v>
      </c>
      <c r="M26">
        <v>0.88044485634847025</v>
      </c>
      <c r="N26">
        <v>491254.6564885496</v>
      </c>
      <c r="O26">
        <f t="shared" si="2"/>
        <v>1.7922371721457506E-6</v>
      </c>
      <c r="Q26" s="180">
        <v>0.70899999999999996</v>
      </c>
    </row>
    <row r="27" spans="2:17" x14ac:dyDescent="0.25">
      <c r="B27" s="1"/>
      <c r="C27" s="159"/>
      <c r="D27" s="11">
        <v>4</v>
      </c>
      <c r="E27" s="27">
        <v>0.62500000000000056</v>
      </c>
      <c r="F27">
        <v>1777546.5</v>
      </c>
      <c r="G27">
        <f t="shared" si="0"/>
        <v>3.5160824203473749E-7</v>
      </c>
      <c r="I27" s="28">
        <f t="shared" si="1"/>
        <v>2.0236054248545265</v>
      </c>
      <c r="K27" s="159"/>
      <c r="L27" s="11">
        <v>3</v>
      </c>
      <c r="M27">
        <v>0.79494973111994316</v>
      </c>
      <c r="N27">
        <v>405619.57446808508</v>
      </c>
      <c r="O27">
        <f t="shared" si="2"/>
        <v>1.9598406515819943E-6</v>
      </c>
      <c r="Q27" s="180">
        <v>0.751</v>
      </c>
    </row>
    <row r="28" spans="2:17" x14ac:dyDescent="0.25">
      <c r="B28" s="1"/>
    </row>
    <row r="29" spans="2:17" x14ac:dyDescent="0.25">
      <c r="B29" s="1"/>
    </row>
  </sheetData>
  <mergeCells count="8">
    <mergeCell ref="C14:C16"/>
    <mergeCell ref="K14:K16"/>
    <mergeCell ref="C17:C19"/>
    <mergeCell ref="K17:K19"/>
    <mergeCell ref="C20:C23"/>
    <mergeCell ref="K20:K24"/>
    <mergeCell ref="C24:C27"/>
    <mergeCell ref="K25:K2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E6D0-9F90-44CA-8779-341928529B09}">
  <dimension ref="B3:AC7"/>
  <sheetViews>
    <sheetView workbookViewId="0">
      <selection activeCell="G9" sqref="G9"/>
    </sheetView>
  </sheetViews>
  <sheetFormatPr defaultRowHeight="15" x14ac:dyDescent="0.25"/>
  <cols>
    <col min="6" max="6" width="11.5703125" customWidth="1"/>
    <col min="7" max="7" width="13.28515625" customWidth="1"/>
    <col min="8" max="8" width="14.28515625" customWidth="1"/>
    <col min="11" max="11" width="12.7109375" customWidth="1"/>
    <col min="15" max="15" width="13" customWidth="1"/>
    <col min="16" max="16" width="11.85546875" customWidth="1"/>
    <col min="17" max="17" width="13.5703125" customWidth="1"/>
  </cols>
  <sheetData>
    <row r="3" spans="2:29" x14ac:dyDescent="0.25">
      <c r="B3" s="4"/>
      <c r="C3" s="157" t="s">
        <v>260</v>
      </c>
      <c r="D3" s="157"/>
      <c r="E3" s="157"/>
      <c r="F3" s="157" t="s">
        <v>261</v>
      </c>
      <c r="G3" s="157"/>
      <c r="H3" s="157"/>
      <c r="I3" s="157" t="s">
        <v>262</v>
      </c>
      <c r="J3" s="157"/>
      <c r="K3" s="157"/>
      <c r="L3" s="157" t="s">
        <v>263</v>
      </c>
      <c r="M3" s="157"/>
      <c r="Q3" s="157" t="s">
        <v>260</v>
      </c>
      <c r="R3" s="157"/>
      <c r="S3" s="157"/>
      <c r="T3" s="157" t="s">
        <v>261</v>
      </c>
      <c r="U3" s="157"/>
      <c r="V3" s="157"/>
      <c r="W3" s="157" t="s">
        <v>262</v>
      </c>
      <c r="X3" s="157"/>
      <c r="Y3" s="157"/>
      <c r="Z3" s="157" t="s">
        <v>263</v>
      </c>
      <c r="AA3" s="157"/>
      <c r="AB3" s="157"/>
      <c r="AC3" s="7" t="s">
        <v>6</v>
      </c>
    </row>
    <row r="4" spans="2:29" x14ac:dyDescent="0.25">
      <c r="B4" s="4"/>
      <c r="C4" s="25">
        <v>1</v>
      </c>
      <c r="D4" s="25">
        <v>2</v>
      </c>
      <c r="E4" s="25">
        <v>3</v>
      </c>
      <c r="F4" s="25">
        <v>1</v>
      </c>
      <c r="G4" s="25">
        <v>2</v>
      </c>
      <c r="H4" s="25">
        <v>3</v>
      </c>
      <c r="I4" s="25">
        <v>1</v>
      </c>
      <c r="J4" s="25">
        <v>2</v>
      </c>
      <c r="K4" s="25">
        <v>3</v>
      </c>
      <c r="L4" s="25">
        <v>1</v>
      </c>
      <c r="M4" s="25">
        <v>3</v>
      </c>
      <c r="Q4" s="25">
        <v>1</v>
      </c>
      <c r="R4" s="25">
        <v>2</v>
      </c>
      <c r="S4" s="25">
        <v>3</v>
      </c>
      <c r="T4" s="25">
        <v>1</v>
      </c>
      <c r="U4" s="25">
        <v>2</v>
      </c>
      <c r="V4" s="25">
        <v>3</v>
      </c>
      <c r="W4" s="25">
        <v>1</v>
      </c>
      <c r="X4" s="25">
        <v>2</v>
      </c>
      <c r="Y4" s="25">
        <v>3</v>
      </c>
      <c r="Z4" s="25">
        <v>1</v>
      </c>
      <c r="AA4" s="25">
        <v>2</v>
      </c>
      <c r="AB4" s="25">
        <v>3</v>
      </c>
      <c r="AC4" s="4"/>
    </row>
    <row r="5" spans="2:29" x14ac:dyDescent="0.25">
      <c r="B5" s="7" t="s">
        <v>264</v>
      </c>
      <c r="C5" s="4"/>
      <c r="D5" s="4">
        <v>64894.459000000003</v>
      </c>
      <c r="E5" s="4">
        <v>64077.459000000003</v>
      </c>
      <c r="F5" s="4">
        <v>76488.115999999995</v>
      </c>
      <c r="G5" s="4">
        <v>71488.459000000003</v>
      </c>
      <c r="H5" s="4">
        <v>63946.288</v>
      </c>
      <c r="I5" s="4">
        <v>59048.874000000003</v>
      </c>
      <c r="J5" s="4">
        <v>50892.167000000001</v>
      </c>
      <c r="K5" s="4">
        <v>59821.459000000003</v>
      </c>
      <c r="L5" s="4">
        <v>58864.752</v>
      </c>
      <c r="M5" s="4">
        <v>63091.874000000003</v>
      </c>
      <c r="P5" s="7" t="s">
        <v>264</v>
      </c>
      <c r="Q5" s="4"/>
      <c r="R5" s="4">
        <f t="shared" ref="R5:Z5" si="0">D5/$AC$5</f>
        <v>1.0063347123363708</v>
      </c>
      <c r="S5" s="4">
        <f t="shared" si="0"/>
        <v>0.99366528766362927</v>
      </c>
      <c r="T5" s="4">
        <f t="shared" si="0"/>
        <v>1.1861204700390668</v>
      </c>
      <c r="U5" s="4">
        <f t="shared" si="0"/>
        <v>1.1085895303193056</v>
      </c>
      <c r="V5" s="4">
        <f t="shared" si="0"/>
        <v>0.99163118594545518</v>
      </c>
      <c r="W5" s="4">
        <f t="shared" si="0"/>
        <v>0.91568575416549203</v>
      </c>
      <c r="X5" s="4">
        <f t="shared" si="0"/>
        <v>0.78919764533547532</v>
      </c>
      <c r="Y5" s="4">
        <f t="shared" si="0"/>
        <v>0.92766642425213841</v>
      </c>
      <c r="Z5" s="4">
        <f t="shared" si="0"/>
        <v>0.91283052796035802</v>
      </c>
      <c r="AA5" s="4" t="e">
        <f>#REF!/$AC$5</f>
        <v>#REF!</v>
      </c>
      <c r="AB5" s="4">
        <f>M5/$AC$5</f>
        <v>0.9783815729560601</v>
      </c>
      <c r="AC5" s="4">
        <f>AVERAGE(D5:E5)</f>
        <v>64485.959000000003</v>
      </c>
    </row>
    <row r="6" spans="2:29" x14ac:dyDescent="0.25">
      <c r="B6" s="7" t="s">
        <v>265</v>
      </c>
      <c r="C6" s="4"/>
      <c r="D6" s="4">
        <v>85905.459000000003</v>
      </c>
      <c r="E6" s="4">
        <v>69065.974000000002</v>
      </c>
      <c r="F6" s="4">
        <v>82630.167000000001</v>
      </c>
      <c r="G6" s="4">
        <v>94228.823000000004</v>
      </c>
      <c r="H6" s="4">
        <v>85356.702000000005</v>
      </c>
      <c r="I6" s="4">
        <v>85324.388000000006</v>
      </c>
      <c r="J6" s="4">
        <v>77300.459000000003</v>
      </c>
      <c r="K6" s="4">
        <v>78768.894</v>
      </c>
      <c r="L6" s="4">
        <v>72010.388000000006</v>
      </c>
      <c r="M6" s="4">
        <v>92052.581000000006</v>
      </c>
      <c r="P6" s="7" t="s">
        <v>265</v>
      </c>
      <c r="Q6" s="4"/>
      <c r="R6" s="4">
        <f t="shared" ref="R6:Z6" si="1">D6/$AC$6</f>
        <v>1.1086618654420004</v>
      </c>
      <c r="S6" s="4">
        <f t="shared" si="1"/>
        <v>0.89133813455799937</v>
      </c>
      <c r="T6" s="4">
        <f t="shared" si="1"/>
        <v>1.0663922427561212</v>
      </c>
      <c r="U6" s="4">
        <f t="shared" si="1"/>
        <v>1.2160799080950615</v>
      </c>
      <c r="V6" s="4">
        <f t="shared" si="1"/>
        <v>1.1015798247151782</v>
      </c>
      <c r="W6" s="4">
        <f t="shared" si="1"/>
        <v>1.1011627930161811</v>
      </c>
      <c r="X6" s="4">
        <f t="shared" si="1"/>
        <v>0.99760914000195111</v>
      </c>
      <c r="Y6" s="4">
        <f t="shared" si="1"/>
        <v>1.0165601811270597</v>
      </c>
      <c r="Z6" s="4">
        <f t="shared" si="1"/>
        <v>0.92933757668744021</v>
      </c>
      <c r="AA6" s="4" t="e">
        <f>#REF!/$AC$6</f>
        <v>#REF!</v>
      </c>
      <c r="AB6" s="4">
        <f>M6/$AC$6</f>
        <v>1.1879941898711099</v>
      </c>
      <c r="AC6" s="4">
        <f>AVERAGE(D6:E6)</f>
        <v>77485.71650000001</v>
      </c>
    </row>
    <row r="7" spans="2:29" x14ac:dyDescent="0.25">
      <c r="P7" s="7" t="s">
        <v>266</v>
      </c>
      <c r="Q7" s="4"/>
      <c r="R7" s="4">
        <f t="shared" ref="R7:AB7" si="2">R5/R6</f>
        <v>0.90770210801394002</v>
      </c>
      <c r="S7" s="4">
        <f t="shared" si="2"/>
        <v>1.1148017224197104</v>
      </c>
      <c r="T7" s="4">
        <f t="shared" si="2"/>
        <v>1.1122740981062509</v>
      </c>
      <c r="U7" s="4">
        <f t="shared" si="2"/>
        <v>0.91160911625936236</v>
      </c>
      <c r="V7" s="4">
        <f t="shared" si="2"/>
        <v>0.90019003952060295</v>
      </c>
      <c r="W7" s="4">
        <f t="shared" si="2"/>
        <v>0.83156256275000784</v>
      </c>
      <c r="X7" s="4">
        <f>X5/X6</f>
        <v>0.79108902844848816</v>
      </c>
      <c r="Y7" s="4">
        <f t="shared" si="2"/>
        <v>0.91255435878241387</v>
      </c>
      <c r="Z7" s="4">
        <f t="shared" si="2"/>
        <v>0.98223783354814898</v>
      </c>
      <c r="AA7" s="4" t="e">
        <f>AA5/AA6</f>
        <v>#REF!</v>
      </c>
      <c r="AB7" s="4">
        <f t="shared" si="2"/>
        <v>0.8235575403463955</v>
      </c>
    </row>
  </sheetData>
  <mergeCells count="8">
    <mergeCell ref="W3:Y3"/>
    <mergeCell ref="Z3:AB3"/>
    <mergeCell ref="C3:E3"/>
    <mergeCell ref="F3:H3"/>
    <mergeCell ref="I3:K3"/>
    <mergeCell ref="L3:M3"/>
    <mergeCell ref="Q3:S3"/>
    <mergeCell ref="T3:V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EC36E-F7E7-4E65-96C8-37D6441F7DBD}">
  <dimension ref="B3:AC16"/>
  <sheetViews>
    <sheetView zoomScaleNormal="100" workbookViewId="0">
      <selection activeCell="L32" sqref="L32"/>
    </sheetView>
  </sheetViews>
  <sheetFormatPr defaultRowHeight="15" x14ac:dyDescent="0.25"/>
  <cols>
    <col min="2" max="2" width="16.85546875" customWidth="1"/>
    <col min="3" max="3" width="14.7109375" customWidth="1"/>
    <col min="4" max="5" width="9.140625" customWidth="1"/>
    <col min="6" max="6" width="13.85546875" customWidth="1"/>
    <col min="7" max="7" width="23.140625" customWidth="1"/>
    <col min="8" max="8" width="15.42578125" customWidth="1"/>
    <col min="9" max="9" width="23.42578125" customWidth="1"/>
    <col min="10" max="10" width="18.42578125" customWidth="1"/>
    <col min="11" max="11" width="17.85546875" customWidth="1"/>
    <col min="12" max="12" width="20.28515625" customWidth="1"/>
    <col min="13" max="13" width="15.28515625" customWidth="1"/>
    <col min="14" max="14" width="17" customWidth="1"/>
    <col min="15" max="15" width="10.5703125" customWidth="1"/>
    <col min="16" max="16" width="20.5703125" customWidth="1"/>
    <col min="17" max="17" width="13.85546875" customWidth="1"/>
    <col min="18" max="18" width="15.5703125" customWidth="1"/>
    <col min="22" max="22" width="16.85546875" customWidth="1"/>
    <col min="23" max="23" width="15" customWidth="1"/>
    <col min="25" max="25" width="10.140625" customWidth="1"/>
    <col min="26" max="26" width="12.42578125" customWidth="1"/>
    <col min="28" max="28" width="13.85546875" customWidth="1"/>
    <col min="29" max="29" width="11.85546875" customWidth="1"/>
  </cols>
  <sheetData>
    <row r="3" spans="2:29" x14ac:dyDescent="0.25">
      <c r="B3" s="4"/>
      <c r="C3" s="157" t="s">
        <v>260</v>
      </c>
      <c r="D3" s="157"/>
      <c r="E3" s="157"/>
      <c r="F3" s="157" t="s">
        <v>261</v>
      </c>
      <c r="G3" s="157"/>
      <c r="H3" s="157"/>
      <c r="I3" s="157" t="s">
        <v>262</v>
      </c>
      <c r="J3" s="157"/>
      <c r="K3" s="157"/>
      <c r="L3" s="157" t="s">
        <v>263</v>
      </c>
      <c r="M3" s="157"/>
      <c r="Q3" s="157" t="s">
        <v>260</v>
      </c>
      <c r="R3" s="157"/>
      <c r="S3" s="157"/>
      <c r="T3" s="157" t="s">
        <v>261</v>
      </c>
      <c r="U3" s="157"/>
      <c r="V3" s="157"/>
      <c r="W3" s="157" t="s">
        <v>262</v>
      </c>
      <c r="X3" s="157"/>
      <c r="Y3" s="157"/>
      <c r="Z3" s="157" t="s">
        <v>263</v>
      </c>
      <c r="AA3" s="157"/>
      <c r="AB3" s="157"/>
      <c r="AC3" s="7" t="s">
        <v>6</v>
      </c>
    </row>
    <row r="4" spans="2:29" x14ac:dyDescent="0.25">
      <c r="B4" s="4"/>
      <c r="C4" s="25">
        <v>1</v>
      </c>
      <c r="D4" s="25">
        <v>2</v>
      </c>
      <c r="E4" s="25">
        <v>3</v>
      </c>
      <c r="F4" s="25">
        <v>1</v>
      </c>
      <c r="G4" s="25">
        <v>2</v>
      </c>
      <c r="H4" s="25">
        <v>3</v>
      </c>
      <c r="I4" s="25">
        <v>1</v>
      </c>
      <c r="J4" s="25">
        <v>2</v>
      </c>
      <c r="K4" s="25">
        <v>3</v>
      </c>
      <c r="L4" s="25">
        <v>1</v>
      </c>
      <c r="M4" s="25">
        <v>3</v>
      </c>
      <c r="Q4" s="25">
        <v>1</v>
      </c>
      <c r="R4" s="25">
        <v>2</v>
      </c>
      <c r="S4" s="25">
        <v>3</v>
      </c>
      <c r="T4" s="25">
        <v>1</v>
      </c>
      <c r="U4" s="25">
        <v>2</v>
      </c>
      <c r="V4" s="25">
        <v>3</v>
      </c>
      <c r="W4" s="25">
        <v>1</v>
      </c>
      <c r="X4" s="25">
        <v>2</v>
      </c>
      <c r="Y4" s="25">
        <v>3</v>
      </c>
      <c r="Z4" s="25">
        <v>1</v>
      </c>
      <c r="AA4" s="25">
        <v>2</v>
      </c>
      <c r="AB4" s="25">
        <v>3</v>
      </c>
      <c r="AC4" s="4"/>
    </row>
    <row r="5" spans="2:29" x14ac:dyDescent="0.25">
      <c r="B5" s="7" t="s">
        <v>264</v>
      </c>
      <c r="C5" s="4"/>
      <c r="D5" s="4">
        <v>64894.459000000003</v>
      </c>
      <c r="E5" s="4">
        <v>64077.459000000003</v>
      </c>
      <c r="F5" s="4">
        <v>76488.115999999995</v>
      </c>
      <c r="G5" s="4">
        <v>71488.459000000003</v>
      </c>
      <c r="H5" s="4">
        <v>63946.288</v>
      </c>
      <c r="I5" s="4">
        <v>59048.874000000003</v>
      </c>
      <c r="J5" s="4">
        <v>50892.167000000001</v>
      </c>
      <c r="K5" s="4">
        <v>59821.459000000003</v>
      </c>
      <c r="L5" s="4">
        <v>58864.752</v>
      </c>
      <c r="M5" s="4">
        <v>63091.874000000003</v>
      </c>
      <c r="P5" s="7" t="s">
        <v>264</v>
      </c>
      <c r="Q5" s="4"/>
      <c r="R5" s="4">
        <f t="shared" ref="R5:Z5" si="0">D5/$AC$5</f>
        <v>1.0063347123363708</v>
      </c>
      <c r="S5" s="4">
        <f t="shared" si="0"/>
        <v>0.99366528766362927</v>
      </c>
      <c r="T5" s="4">
        <f t="shared" si="0"/>
        <v>1.1861204700390668</v>
      </c>
      <c r="U5" s="4">
        <f t="shared" si="0"/>
        <v>1.1085895303193056</v>
      </c>
      <c r="V5" s="4">
        <f t="shared" si="0"/>
        <v>0.99163118594545518</v>
      </c>
      <c r="W5" s="4">
        <f t="shared" si="0"/>
        <v>0.91568575416549203</v>
      </c>
      <c r="X5" s="4">
        <f t="shared" si="0"/>
        <v>0.78919764533547532</v>
      </c>
      <c r="Y5" s="4">
        <f t="shared" si="0"/>
        <v>0.92766642425213841</v>
      </c>
      <c r="Z5" s="4">
        <f t="shared" si="0"/>
        <v>0.91283052796035802</v>
      </c>
      <c r="AA5" s="4" t="e">
        <f>#REF!/$AC$5</f>
        <v>#REF!</v>
      </c>
      <c r="AB5" s="4">
        <f>M5/$AC$5</f>
        <v>0.9783815729560601</v>
      </c>
      <c r="AC5" s="4">
        <f>AVERAGE(D5:E5)</f>
        <v>64485.959000000003</v>
      </c>
    </row>
    <row r="6" spans="2:29" x14ac:dyDescent="0.25">
      <c r="B6" s="7" t="s">
        <v>265</v>
      </c>
      <c r="C6" s="4"/>
      <c r="D6" s="4">
        <v>85905.459000000003</v>
      </c>
      <c r="E6" s="4">
        <v>69065.974000000002</v>
      </c>
      <c r="F6" s="4">
        <v>82630.167000000001</v>
      </c>
      <c r="G6" s="4">
        <v>94228.823000000004</v>
      </c>
      <c r="H6" s="4">
        <v>85356.702000000005</v>
      </c>
      <c r="I6" s="4">
        <v>85324.388000000006</v>
      </c>
      <c r="J6" s="4">
        <v>77300.459000000003</v>
      </c>
      <c r="K6" s="4">
        <v>78768.894</v>
      </c>
      <c r="L6" s="4">
        <v>72010.388000000006</v>
      </c>
      <c r="M6" s="4">
        <v>92052.581000000006</v>
      </c>
      <c r="P6" s="7" t="s">
        <v>265</v>
      </c>
      <c r="Q6" s="4"/>
      <c r="R6" s="4">
        <f t="shared" ref="R6:Z6" si="1">D6/$AC$6</f>
        <v>1.1086618654420004</v>
      </c>
      <c r="S6" s="4">
        <f t="shared" si="1"/>
        <v>0.89133813455799937</v>
      </c>
      <c r="T6" s="4">
        <f t="shared" si="1"/>
        <v>1.0663922427561212</v>
      </c>
      <c r="U6" s="4">
        <f t="shared" si="1"/>
        <v>1.2160799080950615</v>
      </c>
      <c r="V6" s="4">
        <f t="shared" si="1"/>
        <v>1.1015798247151782</v>
      </c>
      <c r="W6" s="4">
        <f t="shared" si="1"/>
        <v>1.1011627930161811</v>
      </c>
      <c r="X6" s="4">
        <f t="shared" si="1"/>
        <v>0.99760914000195111</v>
      </c>
      <c r="Y6" s="4">
        <f t="shared" si="1"/>
        <v>1.0165601811270597</v>
      </c>
      <c r="Z6" s="4">
        <f t="shared" si="1"/>
        <v>0.92933757668744021</v>
      </c>
      <c r="AA6" s="4" t="e">
        <f>#REF!/$AC$6</f>
        <v>#REF!</v>
      </c>
      <c r="AB6" s="4">
        <f>M6/$AC$6</f>
        <v>1.1879941898711099</v>
      </c>
      <c r="AC6" s="4">
        <f>AVERAGE(D6:E6)</f>
        <v>77485.71650000001</v>
      </c>
    </row>
    <row r="7" spans="2:29" x14ac:dyDescent="0.25">
      <c r="P7" s="7" t="s">
        <v>266</v>
      </c>
      <c r="Q7" s="4"/>
      <c r="R7" s="4">
        <f t="shared" ref="R7:AB7" si="2">R5/R6</f>
        <v>0.90770210801394002</v>
      </c>
      <c r="S7" s="4">
        <f t="shared" si="2"/>
        <v>1.1148017224197104</v>
      </c>
      <c r="T7" s="4">
        <f t="shared" si="2"/>
        <v>1.1122740981062509</v>
      </c>
      <c r="U7" s="4">
        <f t="shared" si="2"/>
        <v>0.91160911625936236</v>
      </c>
      <c r="V7" s="4">
        <f t="shared" si="2"/>
        <v>0.90019003952060295</v>
      </c>
      <c r="W7" s="4">
        <f t="shared" si="2"/>
        <v>0.83156256275000784</v>
      </c>
      <c r="X7" s="4">
        <f>X5/X6</f>
        <v>0.79108902844848816</v>
      </c>
      <c r="Y7" s="4">
        <f t="shared" si="2"/>
        <v>0.91255435878241387</v>
      </c>
      <c r="Z7" s="4">
        <f t="shared" si="2"/>
        <v>0.98223783354814898</v>
      </c>
      <c r="AA7" s="4" t="e">
        <f>AA5/AA6</f>
        <v>#REF!</v>
      </c>
      <c r="AB7" s="4">
        <f t="shared" si="2"/>
        <v>0.8235575403463955</v>
      </c>
    </row>
    <row r="10" spans="2:29" x14ac:dyDescent="0.25">
      <c r="B10" s="4"/>
      <c r="C10" s="157" t="s">
        <v>260</v>
      </c>
      <c r="D10" s="157"/>
      <c r="E10" s="157"/>
      <c r="F10" s="157" t="s">
        <v>261</v>
      </c>
      <c r="G10" s="157"/>
      <c r="H10" s="157"/>
      <c r="I10" s="157" t="s">
        <v>262</v>
      </c>
      <c r="J10" s="157"/>
      <c r="K10" s="157"/>
      <c r="L10" s="157" t="s">
        <v>263</v>
      </c>
      <c r="M10" s="157"/>
      <c r="Q10" s="157" t="s">
        <v>260</v>
      </c>
      <c r="R10" s="157"/>
      <c r="S10" s="157"/>
      <c r="T10" s="157" t="s">
        <v>261</v>
      </c>
      <c r="U10" s="157"/>
      <c r="V10" s="157"/>
      <c r="W10" s="157" t="s">
        <v>262</v>
      </c>
      <c r="X10" s="157"/>
      <c r="Y10" s="157"/>
      <c r="Z10" s="157" t="s">
        <v>263</v>
      </c>
      <c r="AA10" s="157"/>
      <c r="AB10" s="157"/>
      <c r="AC10" s="7" t="s">
        <v>6</v>
      </c>
    </row>
    <row r="11" spans="2:29" x14ac:dyDescent="0.25">
      <c r="B11" s="4"/>
      <c r="C11" s="25">
        <v>1</v>
      </c>
      <c r="D11" s="25">
        <v>2</v>
      </c>
      <c r="E11" s="25">
        <v>3</v>
      </c>
      <c r="F11" s="25">
        <v>1</v>
      </c>
      <c r="G11" s="25">
        <v>2</v>
      </c>
      <c r="H11" s="25">
        <v>3</v>
      </c>
      <c r="I11" s="25">
        <v>1</v>
      </c>
      <c r="J11" s="25">
        <v>2</v>
      </c>
      <c r="K11" s="25">
        <v>3</v>
      </c>
      <c r="L11" s="25">
        <v>1</v>
      </c>
      <c r="M11" s="25">
        <v>3</v>
      </c>
      <c r="Q11" s="25">
        <v>1</v>
      </c>
      <c r="R11" s="25">
        <v>2</v>
      </c>
      <c r="S11" s="25">
        <v>3</v>
      </c>
      <c r="T11" s="25">
        <v>1</v>
      </c>
      <c r="U11" s="25">
        <v>2</v>
      </c>
      <c r="V11" s="25">
        <v>3</v>
      </c>
      <c r="W11" s="25">
        <v>1</v>
      </c>
      <c r="X11" s="25">
        <v>2</v>
      </c>
      <c r="Y11" s="25">
        <v>3</v>
      </c>
      <c r="Z11" s="25">
        <v>1</v>
      </c>
      <c r="AA11" s="25">
        <v>2</v>
      </c>
      <c r="AB11" s="25">
        <v>3</v>
      </c>
      <c r="AC11" s="4"/>
    </row>
    <row r="12" spans="2:29" x14ac:dyDescent="0.25">
      <c r="B12" s="7" t="s">
        <v>267</v>
      </c>
      <c r="C12" s="21"/>
      <c r="D12" s="21">
        <v>9373.9120000000003</v>
      </c>
      <c r="E12" s="21">
        <v>13135.619000000001</v>
      </c>
      <c r="F12" s="21">
        <v>17573.082999999999</v>
      </c>
      <c r="G12" s="21">
        <v>9736.7189999999991</v>
      </c>
      <c r="H12" s="21">
        <v>12203.205</v>
      </c>
      <c r="I12" s="21">
        <v>11561.376</v>
      </c>
      <c r="J12" s="21">
        <v>14170.205</v>
      </c>
      <c r="K12" s="21">
        <v>18104.376</v>
      </c>
      <c r="L12" s="21">
        <v>20619.103999999999</v>
      </c>
      <c r="M12" s="21">
        <v>32869.254999999997</v>
      </c>
      <c r="P12" s="7" t="s">
        <v>267</v>
      </c>
      <c r="Q12" s="4"/>
      <c r="R12" s="4">
        <f t="shared" ref="R12:Z12" si="3">D12/$AC$12</f>
        <v>0.8328838126391882</v>
      </c>
      <c r="S12" s="4">
        <f t="shared" si="3"/>
        <v>1.1671161873608116</v>
      </c>
      <c r="T12" s="4">
        <f t="shared" si="3"/>
        <v>1.5613904172414785</v>
      </c>
      <c r="U12" s="4">
        <f t="shared" si="3"/>
        <v>0.86511966864169654</v>
      </c>
      <c r="V12" s="4">
        <f t="shared" si="3"/>
        <v>1.0842700365458524</v>
      </c>
      <c r="W12" s="4">
        <f t="shared" si="3"/>
        <v>1.0272427266476587</v>
      </c>
      <c r="X12" s="4">
        <f t="shared" si="3"/>
        <v>1.2590404482439015</v>
      </c>
      <c r="Y12" s="4">
        <f t="shared" si="3"/>
        <v>1.6085964652040061</v>
      </c>
      <c r="Z12" s="4">
        <f t="shared" si="3"/>
        <v>1.8320331951829647</v>
      </c>
      <c r="AA12" s="4" t="e">
        <f>#REF!/$AC$12</f>
        <v>#REF!</v>
      </c>
      <c r="AB12" s="4">
        <f>M12/$AC$12</f>
        <v>2.9204744425816775</v>
      </c>
      <c r="AC12" s="4">
        <f>AVERAGE(D12:E12)</f>
        <v>11254.765500000001</v>
      </c>
    </row>
    <row r="13" spans="2:29" x14ac:dyDescent="0.25">
      <c r="B13" s="7" t="s">
        <v>265</v>
      </c>
      <c r="C13" s="21"/>
      <c r="D13" s="21">
        <v>85905.459000000003</v>
      </c>
      <c r="E13" s="21">
        <v>69065.974000000002</v>
      </c>
      <c r="F13" s="21">
        <v>82630.167000000001</v>
      </c>
      <c r="G13" s="21">
        <v>94228.823000000004</v>
      </c>
      <c r="H13" s="21">
        <v>85356.702000000005</v>
      </c>
      <c r="I13" s="21">
        <v>85324.388000000006</v>
      </c>
      <c r="J13" s="21">
        <v>77300.459000000003</v>
      </c>
      <c r="K13" s="21">
        <v>78768.894</v>
      </c>
      <c r="L13" s="21">
        <v>72010.388000000006</v>
      </c>
      <c r="M13" s="21">
        <v>92052.581000000006</v>
      </c>
      <c r="P13" s="7" t="s">
        <v>265</v>
      </c>
      <c r="Q13" s="4"/>
      <c r="R13" s="4">
        <f t="shared" ref="R13:Z13" si="4">D13/$AC$13</f>
        <v>1.1086618654420004</v>
      </c>
      <c r="S13" s="4">
        <f t="shared" si="4"/>
        <v>0.89133813455799937</v>
      </c>
      <c r="T13" s="4">
        <f t="shared" si="4"/>
        <v>1.0663922427561212</v>
      </c>
      <c r="U13" s="4">
        <f t="shared" si="4"/>
        <v>1.2160799080950615</v>
      </c>
      <c r="V13" s="4">
        <f t="shared" si="4"/>
        <v>1.1015798247151782</v>
      </c>
      <c r="W13" s="4">
        <f t="shared" si="4"/>
        <v>1.1011627930161811</v>
      </c>
      <c r="X13" s="4">
        <f t="shared" si="4"/>
        <v>0.99760914000195111</v>
      </c>
      <c r="Y13" s="4">
        <f t="shared" si="4"/>
        <v>1.0165601811270597</v>
      </c>
      <c r="Z13" s="4">
        <f t="shared" si="4"/>
        <v>0.92933757668744021</v>
      </c>
      <c r="AA13" s="4" t="e">
        <f>#REF!/$AC$13</f>
        <v>#REF!</v>
      </c>
      <c r="AB13" s="4">
        <f>M13/$AC$13</f>
        <v>1.1879941898711099</v>
      </c>
      <c r="AC13" s="4">
        <f>AVERAGE(D13:E13)</f>
        <v>77485.71650000001</v>
      </c>
    </row>
    <row r="14" spans="2:29" x14ac:dyDescent="0.25">
      <c r="P14" s="7" t="s">
        <v>268</v>
      </c>
      <c r="Q14" s="4"/>
      <c r="R14" s="4">
        <f t="shared" ref="R14:AB14" si="5">R12/R13</f>
        <v>0.75125143075714507</v>
      </c>
      <c r="S14" s="4">
        <f t="shared" si="5"/>
        <v>1.3093977942944921</v>
      </c>
      <c r="T14" s="4">
        <f t="shared" si="5"/>
        <v>1.4641802093440031</v>
      </c>
      <c r="U14" s="4">
        <f t="shared" si="5"/>
        <v>0.71140034703547605</v>
      </c>
      <c r="V14" s="4">
        <f t="shared" si="5"/>
        <v>0.98428639688113262</v>
      </c>
      <c r="W14" s="4">
        <f t="shared" si="5"/>
        <v>0.93287090079928248</v>
      </c>
      <c r="X14" s="4">
        <f t="shared" si="5"/>
        <v>1.2620578518771781</v>
      </c>
      <c r="Y14" s="4">
        <f t="shared" si="5"/>
        <v>1.582391770864521</v>
      </c>
      <c r="Z14" s="4">
        <f t="shared" si="5"/>
        <v>1.9713323136175349</v>
      </c>
      <c r="AA14" s="4" t="e">
        <f t="shared" si="5"/>
        <v>#REF!</v>
      </c>
      <c r="AB14" s="4">
        <f t="shared" si="5"/>
        <v>2.4583238432323737</v>
      </c>
    </row>
    <row r="16" spans="2:29" x14ac:dyDescent="0.25">
      <c r="P16" s="7" t="s">
        <v>269</v>
      </c>
      <c r="Q16" s="4"/>
      <c r="R16" s="4">
        <f>R14/R7</f>
        <v>0.82764094533270349</v>
      </c>
      <c r="S16" s="4">
        <f t="shared" ref="R16:AB16" si="6">S14/S7</f>
        <v>1.1745566659624502</v>
      </c>
      <c r="T16" s="4">
        <f t="shared" si="6"/>
        <v>1.3163843443238539</v>
      </c>
      <c r="U16" s="4">
        <f t="shared" si="6"/>
        <v>0.78037871094860267</v>
      </c>
      <c r="V16" s="4">
        <f t="shared" si="6"/>
        <v>1.0934206708233689</v>
      </c>
      <c r="W16" s="4">
        <f t="shared" si="6"/>
        <v>1.1218288828614942</v>
      </c>
      <c r="X16" s="4">
        <f t="shared" si="6"/>
        <v>1.595342378028388</v>
      </c>
      <c r="Y16" s="4">
        <f t="shared" si="6"/>
        <v>1.7340246700216799</v>
      </c>
      <c r="Z16" s="4">
        <f t="shared" si="6"/>
        <v>2.0069806377712704</v>
      </c>
      <c r="AA16" s="4" t="e">
        <f t="shared" si="6"/>
        <v>#REF!</v>
      </c>
      <c r="AB16" s="4">
        <f t="shared" si="6"/>
        <v>2.9850055676721521</v>
      </c>
    </row>
  </sheetData>
  <mergeCells count="16">
    <mergeCell ref="W3:Y3"/>
    <mergeCell ref="Z3:AB3"/>
    <mergeCell ref="C10:E10"/>
    <mergeCell ref="F10:H10"/>
    <mergeCell ref="I10:K10"/>
    <mergeCell ref="L10:M10"/>
    <mergeCell ref="Q10:S10"/>
    <mergeCell ref="T10:V10"/>
    <mergeCell ref="W10:Y10"/>
    <mergeCell ref="Z10:AB10"/>
    <mergeCell ref="C3:E3"/>
    <mergeCell ref="F3:H3"/>
    <mergeCell ref="I3:K3"/>
    <mergeCell ref="L3:M3"/>
    <mergeCell ref="Q3:S3"/>
    <mergeCell ref="T3:V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E26AB-185A-4F20-96D5-A2CCC83546E7}">
  <dimension ref="B3:Z5"/>
  <sheetViews>
    <sheetView workbookViewId="0">
      <selection activeCell="R26" sqref="R26"/>
    </sheetView>
  </sheetViews>
  <sheetFormatPr defaultRowHeight="15" x14ac:dyDescent="0.25"/>
  <cols>
    <col min="2" max="2" width="12.5703125" customWidth="1"/>
  </cols>
  <sheetData>
    <row r="3" spans="2:26" s="1" customFormat="1" x14ac:dyDescent="0.25">
      <c r="B3" s="7"/>
      <c r="C3" s="158" t="s">
        <v>16</v>
      </c>
      <c r="D3" s="158"/>
      <c r="E3" s="158"/>
      <c r="F3" s="158"/>
      <c r="G3" s="158"/>
      <c r="H3" s="158" t="s">
        <v>273</v>
      </c>
      <c r="I3" s="158"/>
      <c r="J3" s="158"/>
      <c r="K3" s="158"/>
      <c r="L3" s="158"/>
      <c r="M3" s="158" t="s">
        <v>274</v>
      </c>
      <c r="N3" s="158"/>
      <c r="O3" s="158"/>
      <c r="P3" s="158"/>
      <c r="Q3" s="158" t="s">
        <v>275</v>
      </c>
      <c r="R3" s="158"/>
      <c r="S3" s="158"/>
      <c r="T3" s="158"/>
      <c r="U3" s="164" t="s">
        <v>276</v>
      </c>
      <c r="V3" s="164"/>
      <c r="W3" s="164"/>
      <c r="X3" s="164"/>
      <c r="Y3" s="164"/>
      <c r="Z3" s="164"/>
    </row>
    <row r="4" spans="2:26" x14ac:dyDescent="0.25">
      <c r="B4" s="8" t="s">
        <v>27</v>
      </c>
      <c r="C4" s="6">
        <v>1.0643640000000001</v>
      </c>
      <c r="D4" s="6">
        <v>1.460234</v>
      </c>
      <c r="E4" s="6">
        <v>1.409259</v>
      </c>
      <c r="F4" s="6">
        <v>1.487214</v>
      </c>
      <c r="G4" s="6"/>
      <c r="H4" s="6">
        <v>6.1662920000000003</v>
      </c>
      <c r="I4" s="6">
        <v>6.7188889999999999</v>
      </c>
      <c r="J4" s="6">
        <v>5.5318480000000001</v>
      </c>
      <c r="K4" s="6">
        <v>4.0140580000000003</v>
      </c>
      <c r="L4" s="6">
        <v>5.1756099999999998</v>
      </c>
      <c r="M4" s="6">
        <v>3.574824</v>
      </c>
      <c r="N4" s="6">
        <v>4.4167560000000003</v>
      </c>
      <c r="O4" s="6">
        <v>4.1035740000000001</v>
      </c>
      <c r="P4" s="6">
        <v>6.1234120000000001</v>
      </c>
      <c r="Q4" s="6">
        <v>1.383980491</v>
      </c>
      <c r="R4" s="6">
        <v>0.88189365500000005</v>
      </c>
      <c r="S4" s="6">
        <v>2.5851595010000001</v>
      </c>
      <c r="T4" s="6">
        <v>1.052438913</v>
      </c>
      <c r="U4" s="6">
        <v>1.8011555130000001</v>
      </c>
      <c r="V4" s="6">
        <v>1.8669707799999999</v>
      </c>
      <c r="W4" s="6">
        <v>2.4285438209999999</v>
      </c>
      <c r="X4" s="6">
        <v>1.4288245980000001</v>
      </c>
      <c r="Y4" s="6">
        <v>0.96050426899999997</v>
      </c>
      <c r="Z4" s="6"/>
    </row>
    <row r="5" spans="2:26" x14ac:dyDescent="0.25">
      <c r="B5" s="8" t="s">
        <v>30</v>
      </c>
      <c r="C5" s="6">
        <v>4.0166709999999997</v>
      </c>
      <c r="D5" s="6">
        <v>5.6398979999999996</v>
      </c>
      <c r="E5" s="6">
        <v>6.8103660000000001</v>
      </c>
      <c r="F5" s="6"/>
      <c r="G5" s="6">
        <v>4.3837840000000003</v>
      </c>
      <c r="H5" s="6">
        <v>7.2765022000000004</v>
      </c>
      <c r="I5" s="6">
        <v>6.1029827000000001</v>
      </c>
      <c r="J5" s="6">
        <v>7.0012499999999998</v>
      </c>
      <c r="K5" s="6"/>
      <c r="L5" s="6"/>
      <c r="M5" s="6">
        <v>6.4047470329999996</v>
      </c>
      <c r="N5" s="6">
        <v>7.4912623109999998</v>
      </c>
      <c r="O5" s="6">
        <v>7.1425749869999997</v>
      </c>
      <c r="P5" s="6"/>
      <c r="Q5" s="6">
        <v>0.816087546</v>
      </c>
      <c r="R5" s="6">
        <v>0.41789161899999999</v>
      </c>
      <c r="S5" s="6">
        <v>1.054461369</v>
      </c>
      <c r="T5" s="6"/>
      <c r="U5" s="6">
        <v>2.6196726039999998</v>
      </c>
      <c r="V5" s="6">
        <v>1.964288955</v>
      </c>
      <c r="W5" s="6">
        <v>1.658162554</v>
      </c>
      <c r="X5" s="6">
        <v>1.4342440999999999</v>
      </c>
      <c r="Y5" s="6">
        <v>1.2145223060000001</v>
      </c>
      <c r="Z5" s="6">
        <v>1.496419355</v>
      </c>
    </row>
  </sheetData>
  <mergeCells count="5">
    <mergeCell ref="C3:G3"/>
    <mergeCell ref="H3:L3"/>
    <mergeCell ref="M3:P3"/>
    <mergeCell ref="Q3:T3"/>
    <mergeCell ref="U3:Z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1688-35A6-4BD2-A65D-7C6461B16FD9}">
  <dimension ref="B3:R6"/>
  <sheetViews>
    <sheetView workbookViewId="0">
      <selection activeCell="M8" sqref="M8"/>
    </sheetView>
  </sheetViews>
  <sheetFormatPr defaultRowHeight="15" x14ac:dyDescent="0.25"/>
  <cols>
    <col min="11" max="11" width="14.7109375" customWidth="1"/>
    <col min="17" max="17" width="13.140625" customWidth="1"/>
  </cols>
  <sheetData>
    <row r="3" spans="2:18" x14ac:dyDescent="0.25">
      <c r="B3" s="182"/>
      <c r="C3" s="183" t="s">
        <v>18</v>
      </c>
      <c r="D3" s="183" t="s">
        <v>19</v>
      </c>
      <c r="E3" s="183" t="s">
        <v>20</v>
      </c>
      <c r="F3" s="183" t="s">
        <v>270</v>
      </c>
      <c r="G3" s="183" t="s">
        <v>271</v>
      </c>
      <c r="H3" s="183" t="s">
        <v>272</v>
      </c>
      <c r="I3" s="181"/>
      <c r="J3" s="181"/>
      <c r="K3" s="182"/>
      <c r="L3" s="183" t="s">
        <v>18</v>
      </c>
      <c r="M3" s="183" t="s">
        <v>19</v>
      </c>
      <c r="N3" s="183" t="s">
        <v>20</v>
      </c>
      <c r="O3" s="183" t="s">
        <v>270</v>
      </c>
      <c r="P3" s="183" t="s">
        <v>271</v>
      </c>
      <c r="Q3" s="183" t="s">
        <v>272</v>
      </c>
      <c r="R3" s="183" t="s">
        <v>6</v>
      </c>
    </row>
    <row r="4" spans="2:18" x14ac:dyDescent="0.25">
      <c r="B4" s="183" t="s">
        <v>24</v>
      </c>
      <c r="C4" s="182">
        <v>62624.885999999999</v>
      </c>
      <c r="D4" s="182">
        <v>71240.179000000004</v>
      </c>
      <c r="E4" s="182">
        <v>85928.421000000002</v>
      </c>
      <c r="F4" s="182">
        <v>88370.885999999999</v>
      </c>
      <c r="G4" s="182">
        <v>97468.592999999993</v>
      </c>
      <c r="H4" s="182">
        <v>111273.806</v>
      </c>
      <c r="I4" s="181"/>
      <c r="J4" s="181"/>
      <c r="K4" s="183" t="s">
        <v>24</v>
      </c>
      <c r="L4" s="182">
        <f>C4/$R$4</f>
        <v>0.85477809838276997</v>
      </c>
      <c r="M4" s="182">
        <f t="shared" ref="M4:Q4" si="0">D4/$R$4</f>
        <v>0.97236974984781843</v>
      </c>
      <c r="N4" s="182">
        <f t="shared" si="0"/>
        <v>1.1728521517694113</v>
      </c>
      <c r="O4" s="182">
        <f t="shared" si="0"/>
        <v>1.2061897867164268</v>
      </c>
      <c r="P4" s="182">
        <f t="shared" si="0"/>
        <v>1.3303659918292572</v>
      </c>
      <c r="Q4" s="182">
        <f t="shared" si="0"/>
        <v>1.5187957754125614</v>
      </c>
      <c r="R4" s="182">
        <f>AVERAGE(C4:E4)</f>
        <v>73264.49533333334</v>
      </c>
    </row>
    <row r="5" spans="2:18" x14ac:dyDescent="0.25">
      <c r="B5" s="183" t="s">
        <v>264</v>
      </c>
      <c r="C5" s="182">
        <v>73456.2</v>
      </c>
      <c r="D5" s="182">
        <v>88918.956999999995</v>
      </c>
      <c r="E5" s="182">
        <v>98252.614000000001</v>
      </c>
      <c r="F5" s="182">
        <v>68310.692999999999</v>
      </c>
      <c r="G5" s="182">
        <v>76169.077999999994</v>
      </c>
      <c r="H5" s="182">
        <v>76978.179000000004</v>
      </c>
      <c r="I5" s="181"/>
      <c r="J5" s="181"/>
      <c r="K5" s="183" t="s">
        <v>264</v>
      </c>
      <c r="L5" s="182">
        <f>C5/$R$5</f>
        <v>0.84553000301721482</v>
      </c>
      <c r="M5" s="182">
        <f t="shared" ref="M5:Q5" si="1">D5/$R$5</f>
        <v>1.023516680423131</v>
      </c>
      <c r="N5" s="182">
        <f t="shared" si="1"/>
        <v>1.1309533165596539</v>
      </c>
      <c r="O5" s="182">
        <f t="shared" si="1"/>
        <v>0.7863017751857303</v>
      </c>
      <c r="P5" s="182">
        <f t="shared" si="1"/>
        <v>0.87675704366899554</v>
      </c>
      <c r="Q5" s="182">
        <f t="shared" si="1"/>
        <v>0.88607033745456087</v>
      </c>
      <c r="R5" s="182">
        <f>AVERAGE(C5:E5)</f>
        <v>86875.923666666669</v>
      </c>
    </row>
    <row r="6" spans="2:18" x14ac:dyDescent="0.25">
      <c r="B6" s="181"/>
      <c r="C6" s="181"/>
      <c r="D6" s="181"/>
      <c r="E6" s="181"/>
      <c r="F6" s="181"/>
      <c r="G6" s="181"/>
      <c r="H6" s="181"/>
      <c r="I6" s="181"/>
      <c r="J6" s="181"/>
      <c r="K6" s="183" t="s">
        <v>590</v>
      </c>
      <c r="L6" s="182">
        <f>L5/L4</f>
        <v>0.98918070621714282</v>
      </c>
      <c r="M6" s="182">
        <f t="shared" ref="M6:Q6" si="2">M5/M4</f>
        <v>1.0526002897388749</v>
      </c>
      <c r="N6" s="182">
        <f t="shared" si="2"/>
        <v>0.96427611515522471</v>
      </c>
      <c r="O6" s="182">
        <f t="shared" si="2"/>
        <v>0.65188893476395227</v>
      </c>
      <c r="P6" s="182">
        <f t="shared" si="2"/>
        <v>0.65903446799887899</v>
      </c>
      <c r="Q6" s="182">
        <f t="shared" si="2"/>
        <v>0.58340321444064536</v>
      </c>
      <c r="R6" s="182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09B59-C0AE-4399-AEAC-CF78CD09787A}">
  <dimension ref="B3:Q6"/>
  <sheetViews>
    <sheetView workbookViewId="0">
      <selection activeCell="D18" sqref="D18"/>
    </sheetView>
  </sheetViews>
  <sheetFormatPr defaultRowHeight="15" x14ac:dyDescent="0.25"/>
  <cols>
    <col min="2" max="2" width="19.5703125" customWidth="1"/>
  </cols>
  <sheetData>
    <row r="3" spans="2:17" x14ac:dyDescent="0.25">
      <c r="C3" s="158" t="s">
        <v>16</v>
      </c>
      <c r="D3" s="158"/>
      <c r="E3" s="158"/>
      <c r="F3" s="158"/>
      <c r="G3" s="158"/>
      <c r="H3" s="158" t="s">
        <v>113</v>
      </c>
      <c r="I3" s="158"/>
      <c r="J3" s="158"/>
      <c r="K3" s="158"/>
      <c r="L3" s="158"/>
      <c r="M3" s="158" t="s">
        <v>10</v>
      </c>
      <c r="N3" s="158"/>
      <c r="O3" s="158"/>
      <c r="P3" s="158"/>
      <c r="Q3" s="158"/>
    </row>
    <row r="4" spans="2:17" x14ac:dyDescent="0.25">
      <c r="B4" s="8" t="s">
        <v>197</v>
      </c>
      <c r="C4" s="6">
        <v>0.87806899999999999</v>
      </c>
      <c r="D4" s="6">
        <v>0.75586600000000004</v>
      </c>
      <c r="E4" s="6">
        <v>0.94979899999999995</v>
      </c>
      <c r="F4" s="6">
        <v>1.6170530000000001</v>
      </c>
      <c r="G4" s="6">
        <v>0.79921299999999995</v>
      </c>
      <c r="H4" s="6">
        <v>3.576308</v>
      </c>
      <c r="I4" s="6">
        <v>2.9730989999999999</v>
      </c>
      <c r="J4" s="6">
        <v>5.0479079999999996</v>
      </c>
      <c r="K4" s="6">
        <v>3.545506</v>
      </c>
      <c r="L4" s="6"/>
      <c r="M4" s="6">
        <v>3.0184709999999999</v>
      </c>
      <c r="N4" s="6">
        <v>3.3032089999999998</v>
      </c>
      <c r="O4" s="6">
        <v>1.7381679999999999</v>
      </c>
      <c r="P4" s="6">
        <v>2.0762900000000002</v>
      </c>
      <c r="Q4" s="6">
        <v>1.918153</v>
      </c>
    </row>
    <row r="5" spans="2:17" x14ac:dyDescent="0.25">
      <c r="B5" s="8" t="s">
        <v>277</v>
      </c>
      <c r="C5" s="6">
        <v>0.89173000000000002</v>
      </c>
      <c r="D5" s="6">
        <v>0.67742100000000005</v>
      </c>
      <c r="E5" s="6">
        <v>2.1857730000000002</v>
      </c>
      <c r="F5" s="6">
        <v>1.285215</v>
      </c>
      <c r="G5" s="6"/>
      <c r="H5" s="6">
        <v>3.6169060000000002</v>
      </c>
      <c r="I5" s="6">
        <v>4.5120769999999997</v>
      </c>
      <c r="J5" s="6"/>
      <c r="K5" s="6">
        <v>4.0366210000000002</v>
      </c>
      <c r="L5" s="6"/>
      <c r="M5" s="6">
        <v>0.44420999999999999</v>
      </c>
      <c r="N5" s="6">
        <v>0.99648199999999998</v>
      </c>
      <c r="O5" s="6">
        <v>0.34836699999999998</v>
      </c>
      <c r="P5" s="6"/>
      <c r="Q5" s="6"/>
    </row>
    <row r="6" spans="2:17" x14ac:dyDescent="0.25">
      <c r="B6" s="8" t="s">
        <v>278</v>
      </c>
      <c r="C6" s="6">
        <v>1.3453539999999999</v>
      </c>
      <c r="D6" s="6">
        <v>0.84026699999999999</v>
      </c>
      <c r="E6" s="6">
        <v>0.91817899999999997</v>
      </c>
      <c r="F6" s="6">
        <v>1.2844800000000001</v>
      </c>
      <c r="G6" s="6"/>
      <c r="H6" s="6">
        <v>0.948353</v>
      </c>
      <c r="I6" s="6">
        <v>1.8846639999999999</v>
      </c>
      <c r="J6" s="6">
        <v>1.1283609999999999</v>
      </c>
      <c r="K6" s="6">
        <v>1.0696810000000001</v>
      </c>
      <c r="L6" s="6">
        <v>1.106846</v>
      </c>
      <c r="M6" s="6">
        <v>2.7486630000000001</v>
      </c>
      <c r="N6" s="6">
        <v>3.585947</v>
      </c>
      <c r="O6" s="6">
        <v>2.126789</v>
      </c>
      <c r="P6" s="6"/>
      <c r="Q6" s="6"/>
    </row>
  </sheetData>
  <mergeCells count="3">
    <mergeCell ref="C3:G3"/>
    <mergeCell ref="H3:L3"/>
    <mergeCell ref="M3:Q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08311-780F-4F74-8827-6D4B3E524796}">
  <dimension ref="B3:CT9"/>
  <sheetViews>
    <sheetView workbookViewId="0">
      <selection activeCell="AE11" sqref="AE11"/>
    </sheetView>
  </sheetViews>
  <sheetFormatPr defaultRowHeight="15" x14ac:dyDescent="0.25"/>
  <sheetData>
    <row r="3" spans="2:98" x14ac:dyDescent="0.25">
      <c r="B3" s="4"/>
      <c r="C3" s="157" t="s">
        <v>16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 t="s">
        <v>11</v>
      </c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65" t="s">
        <v>263</v>
      </c>
      <c r="AZ3" s="165"/>
      <c r="BA3" s="165"/>
      <c r="BB3" s="165"/>
      <c r="BC3" s="165"/>
      <c r="BD3" s="165"/>
      <c r="BE3" s="165"/>
      <c r="BF3" s="165"/>
      <c r="BG3" s="165"/>
      <c r="BH3" s="165"/>
      <c r="BI3" s="165"/>
      <c r="BJ3" s="165"/>
      <c r="BK3" s="165"/>
      <c r="BL3" s="165"/>
      <c r="BM3" s="165"/>
      <c r="BN3" s="165"/>
      <c r="BO3" s="165"/>
      <c r="BP3" s="165"/>
      <c r="BQ3" s="165"/>
      <c r="BR3" s="165"/>
      <c r="BS3" s="165"/>
      <c r="BT3" s="165"/>
      <c r="BU3" s="165"/>
      <c r="BV3" s="165"/>
      <c r="BW3" s="165" t="s">
        <v>273</v>
      </c>
      <c r="BX3" s="165"/>
      <c r="BY3" s="165"/>
      <c r="BZ3" s="165"/>
      <c r="CA3" s="165"/>
      <c r="CB3" s="165"/>
      <c r="CC3" s="165"/>
      <c r="CD3" s="165"/>
      <c r="CE3" s="165"/>
      <c r="CF3" s="165"/>
      <c r="CG3" s="165"/>
      <c r="CH3" s="165"/>
      <c r="CI3" s="165"/>
      <c r="CJ3" s="165"/>
      <c r="CK3" s="165"/>
      <c r="CL3" s="165"/>
      <c r="CM3" s="165"/>
      <c r="CN3" s="165"/>
      <c r="CO3" s="165"/>
      <c r="CP3" s="165"/>
      <c r="CQ3" s="165"/>
      <c r="CR3" s="165"/>
      <c r="CS3" s="165"/>
      <c r="CT3" s="165"/>
    </row>
    <row r="4" spans="2:98" x14ac:dyDescent="0.25">
      <c r="B4" s="8" t="s">
        <v>279</v>
      </c>
      <c r="C4" s="6">
        <v>26.6</v>
      </c>
      <c r="D4" s="6">
        <v>32.1</v>
      </c>
      <c r="E4" s="6">
        <v>29.4</v>
      </c>
      <c r="F4" s="6">
        <v>29.7</v>
      </c>
      <c r="G4" s="6">
        <v>29.3</v>
      </c>
      <c r="H4" s="6">
        <v>34.299999999999997</v>
      </c>
      <c r="I4" s="6">
        <v>28.7</v>
      </c>
      <c r="J4" s="6">
        <v>32.9</v>
      </c>
      <c r="K4" s="6">
        <v>25.4</v>
      </c>
      <c r="L4" s="6">
        <v>32.1</v>
      </c>
      <c r="M4" s="6">
        <v>32.5</v>
      </c>
      <c r="N4" s="6">
        <v>27.1</v>
      </c>
      <c r="O4" s="6">
        <v>33.1</v>
      </c>
      <c r="P4" s="6">
        <v>36.4</v>
      </c>
      <c r="Q4" s="6">
        <v>29.9</v>
      </c>
      <c r="R4" s="6">
        <v>32.4</v>
      </c>
      <c r="S4" s="6">
        <v>29.4</v>
      </c>
      <c r="T4" s="6">
        <v>36.299999999999997</v>
      </c>
      <c r="U4" s="6">
        <v>28.9</v>
      </c>
      <c r="V4" s="6">
        <v>33.200000000000003</v>
      </c>
      <c r="W4" s="6">
        <v>32</v>
      </c>
      <c r="X4" s="6">
        <v>28.3</v>
      </c>
      <c r="Y4" s="6">
        <v>34.6</v>
      </c>
      <c r="Z4" s="6">
        <v>28.6</v>
      </c>
      <c r="AA4" s="6">
        <v>40.200000000000003</v>
      </c>
      <c r="AB4" s="6">
        <v>32.9</v>
      </c>
      <c r="AC4" s="6">
        <v>37.5</v>
      </c>
      <c r="AD4" s="6">
        <v>31</v>
      </c>
      <c r="AE4" s="6">
        <v>43.3</v>
      </c>
      <c r="AF4" s="6">
        <v>43</v>
      </c>
      <c r="AG4" s="6">
        <v>43.6</v>
      </c>
      <c r="AH4" s="6">
        <v>40.299999999999997</v>
      </c>
      <c r="AI4" s="6">
        <v>45.2</v>
      </c>
      <c r="AJ4" s="6">
        <v>35.700000000000003</v>
      </c>
      <c r="AK4" s="6">
        <v>39.799999999999997</v>
      </c>
      <c r="AL4" s="6">
        <v>33.299999999999997</v>
      </c>
      <c r="AM4" s="6">
        <v>48.8</v>
      </c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>
        <v>34.200000000000003</v>
      </c>
      <c r="AZ4" s="6">
        <v>54.2</v>
      </c>
      <c r="BA4" s="6">
        <v>56.6</v>
      </c>
      <c r="BB4" s="6">
        <v>58.9</v>
      </c>
      <c r="BC4" s="6">
        <v>51.7</v>
      </c>
      <c r="BD4" s="6">
        <v>57.4</v>
      </c>
      <c r="BE4" s="6">
        <v>44.8</v>
      </c>
      <c r="BF4" s="6">
        <v>57.7</v>
      </c>
      <c r="BG4" s="6">
        <v>60.9</v>
      </c>
      <c r="BH4" s="6">
        <v>67.3</v>
      </c>
      <c r="BI4" s="6">
        <v>43.1</v>
      </c>
      <c r="BJ4" s="6">
        <v>54.1</v>
      </c>
      <c r="BK4" s="6">
        <v>33</v>
      </c>
      <c r="BL4" s="6">
        <v>37.6</v>
      </c>
      <c r="BM4" s="6">
        <v>47.3</v>
      </c>
      <c r="BN4" s="6">
        <v>78.400000000000006</v>
      </c>
      <c r="BO4" s="6">
        <v>50.9</v>
      </c>
      <c r="BP4" s="6">
        <v>49</v>
      </c>
      <c r="BQ4" s="6">
        <v>53.1</v>
      </c>
      <c r="BR4" s="6">
        <v>41.4</v>
      </c>
      <c r="BS4" s="6">
        <v>47</v>
      </c>
      <c r="BT4" s="6">
        <v>43.8</v>
      </c>
      <c r="BU4" s="6">
        <v>39.5</v>
      </c>
      <c r="BV4" s="6">
        <v>43.1</v>
      </c>
      <c r="BW4" s="6">
        <v>33</v>
      </c>
      <c r="BX4" s="6">
        <v>35.299999999999997</v>
      </c>
      <c r="BY4" s="6">
        <v>33.700000000000003</v>
      </c>
      <c r="BZ4" s="6">
        <v>31.4</v>
      </c>
      <c r="CA4" s="6">
        <v>42.4</v>
      </c>
      <c r="CB4" s="6">
        <v>36.5</v>
      </c>
      <c r="CC4" s="6">
        <v>32.700000000000003</v>
      </c>
      <c r="CD4" s="6">
        <v>35.1</v>
      </c>
      <c r="CE4" s="6">
        <v>22.1</v>
      </c>
      <c r="CF4" s="6">
        <v>43.4</v>
      </c>
      <c r="CG4" s="6">
        <v>40.1</v>
      </c>
      <c r="CH4" s="6">
        <v>28.3</v>
      </c>
      <c r="CI4" s="6">
        <v>29.4</v>
      </c>
      <c r="CJ4" s="6">
        <v>26.5</v>
      </c>
      <c r="CK4" s="6">
        <v>29.9</v>
      </c>
      <c r="CL4" s="6">
        <v>26.3</v>
      </c>
      <c r="CM4" s="6"/>
      <c r="CN4" s="6"/>
      <c r="CO4" s="6"/>
      <c r="CP4" s="6"/>
      <c r="CQ4" s="6"/>
      <c r="CR4" s="6"/>
      <c r="CS4" s="6"/>
      <c r="CT4" s="6"/>
    </row>
    <row r="5" spans="2:98" x14ac:dyDescent="0.25">
      <c r="B5" s="8" t="s">
        <v>280</v>
      </c>
      <c r="C5" s="6">
        <v>7.1</v>
      </c>
      <c r="D5" s="6">
        <v>13.4</v>
      </c>
      <c r="E5" s="6">
        <v>28.7</v>
      </c>
      <c r="F5" s="6">
        <v>34.200000000000003</v>
      </c>
      <c r="G5" s="6">
        <v>32.1</v>
      </c>
      <c r="H5" s="6">
        <v>34</v>
      </c>
      <c r="I5" s="6">
        <v>26</v>
      </c>
      <c r="J5" s="6">
        <v>34.4</v>
      </c>
      <c r="K5" s="6">
        <v>9.8000000000000007</v>
      </c>
      <c r="L5" s="6">
        <v>44</v>
      </c>
      <c r="M5" s="6">
        <v>7</v>
      </c>
      <c r="N5" s="6">
        <v>15</v>
      </c>
      <c r="O5" s="6">
        <v>30.5</v>
      </c>
      <c r="P5" s="6">
        <v>31</v>
      </c>
      <c r="Q5" s="6">
        <v>29.2</v>
      </c>
      <c r="R5" s="6">
        <v>22.7</v>
      </c>
      <c r="S5" s="6">
        <v>22.7</v>
      </c>
      <c r="T5" s="6">
        <v>5.7</v>
      </c>
      <c r="U5" s="6">
        <v>35.9</v>
      </c>
      <c r="V5" s="6">
        <v>21.2</v>
      </c>
      <c r="W5" s="6"/>
      <c r="X5" s="6"/>
      <c r="Y5" s="6"/>
      <c r="Z5" s="6"/>
      <c r="AA5" s="6">
        <v>64.599999999999994</v>
      </c>
      <c r="AB5" s="6">
        <v>65.599999999999994</v>
      </c>
      <c r="AC5" s="6">
        <v>57.9</v>
      </c>
      <c r="AD5" s="6">
        <v>40.6</v>
      </c>
      <c r="AE5" s="6">
        <v>51</v>
      </c>
      <c r="AF5" s="6">
        <v>53.4</v>
      </c>
      <c r="AG5" s="6">
        <v>61.5</v>
      </c>
      <c r="AH5" s="6">
        <v>35.4</v>
      </c>
      <c r="AI5" s="6">
        <v>49</v>
      </c>
      <c r="AJ5" s="6">
        <v>63</v>
      </c>
      <c r="AK5" s="6">
        <v>62.7</v>
      </c>
      <c r="AL5" s="6">
        <v>58.8</v>
      </c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>
        <v>46.2</v>
      </c>
      <c r="AZ5" s="6">
        <v>41.4</v>
      </c>
      <c r="BA5" s="6">
        <v>33.6</v>
      </c>
      <c r="BB5" s="6">
        <v>61</v>
      </c>
      <c r="BC5" s="6">
        <v>59.1</v>
      </c>
      <c r="BD5" s="6">
        <v>44.6</v>
      </c>
      <c r="BE5" s="6">
        <v>57.4</v>
      </c>
      <c r="BF5" s="6">
        <v>38.4</v>
      </c>
      <c r="BG5" s="6">
        <v>61.8</v>
      </c>
      <c r="BH5" s="6">
        <v>61.4</v>
      </c>
      <c r="BI5" s="6">
        <v>59.9</v>
      </c>
      <c r="BJ5" s="6">
        <v>62.5</v>
      </c>
      <c r="BK5" s="6">
        <v>52.1</v>
      </c>
      <c r="BL5" s="6">
        <v>50.4</v>
      </c>
      <c r="BM5" s="6">
        <v>66.5</v>
      </c>
      <c r="BN5" s="6"/>
      <c r="BO5" s="6"/>
      <c r="BP5" s="6"/>
      <c r="BQ5" s="6"/>
      <c r="BR5" s="6"/>
      <c r="BS5" s="6"/>
      <c r="BT5" s="6"/>
      <c r="BU5" s="6"/>
      <c r="BV5" s="6"/>
      <c r="BW5" s="6">
        <v>45.4</v>
      </c>
      <c r="BX5" s="6">
        <v>46.4</v>
      </c>
      <c r="BY5" s="6">
        <v>52.1</v>
      </c>
      <c r="BZ5" s="6">
        <v>60.2</v>
      </c>
      <c r="CA5" s="6">
        <v>50.2</v>
      </c>
      <c r="CB5" s="6">
        <v>55.7</v>
      </c>
      <c r="CC5" s="6">
        <v>48.3</v>
      </c>
      <c r="CD5" s="6">
        <v>46.5</v>
      </c>
      <c r="CE5" s="6">
        <v>74.2</v>
      </c>
      <c r="CF5" s="6">
        <v>38.5</v>
      </c>
      <c r="CG5" s="6">
        <v>69.7</v>
      </c>
      <c r="CH5" s="6">
        <v>65.2</v>
      </c>
      <c r="CI5" s="6">
        <v>43.8</v>
      </c>
      <c r="CJ5" s="6">
        <v>51.9</v>
      </c>
      <c r="CK5" s="6">
        <v>68.099999999999994</v>
      </c>
      <c r="CL5" s="6">
        <v>66.5</v>
      </c>
      <c r="CM5" s="6">
        <v>80.900000000000006</v>
      </c>
      <c r="CN5" s="6">
        <v>71.8</v>
      </c>
      <c r="CO5" s="6">
        <v>77.2</v>
      </c>
      <c r="CP5" s="6">
        <v>50</v>
      </c>
      <c r="CQ5" s="6">
        <v>48.6</v>
      </c>
      <c r="CR5" s="6">
        <v>76.8</v>
      </c>
      <c r="CS5" s="6"/>
      <c r="CT5" s="6"/>
    </row>
    <row r="6" spans="2:98" x14ac:dyDescent="0.25">
      <c r="B6" s="8" t="s">
        <v>281</v>
      </c>
      <c r="C6" s="6">
        <v>48.2</v>
      </c>
      <c r="D6" s="6">
        <v>50</v>
      </c>
      <c r="E6" s="6">
        <v>40</v>
      </c>
      <c r="F6" s="6">
        <v>62.2</v>
      </c>
      <c r="G6" s="6">
        <v>50</v>
      </c>
      <c r="H6" s="6">
        <v>44</v>
      </c>
      <c r="I6" s="6">
        <v>31.7</v>
      </c>
      <c r="J6" s="6">
        <v>57</v>
      </c>
      <c r="K6" s="6">
        <v>42</v>
      </c>
      <c r="L6" s="6">
        <v>54.5</v>
      </c>
      <c r="M6" s="6">
        <v>66</v>
      </c>
      <c r="N6" s="6">
        <v>41.8</v>
      </c>
      <c r="O6" s="6">
        <v>50.7</v>
      </c>
      <c r="P6" s="6">
        <v>60</v>
      </c>
      <c r="Q6" s="6">
        <v>52.3</v>
      </c>
      <c r="R6" s="6">
        <v>62</v>
      </c>
      <c r="S6" s="6">
        <v>74</v>
      </c>
      <c r="T6" s="6">
        <v>63</v>
      </c>
      <c r="U6" s="6">
        <v>69</v>
      </c>
      <c r="V6" s="6">
        <v>62.2</v>
      </c>
      <c r="W6" s="6">
        <v>56.5</v>
      </c>
      <c r="X6" s="6">
        <v>67</v>
      </c>
      <c r="Y6" s="6">
        <v>40</v>
      </c>
      <c r="Z6" s="6"/>
      <c r="AA6" s="6">
        <v>51.2</v>
      </c>
      <c r="AB6" s="6">
        <v>51.8</v>
      </c>
      <c r="AC6" s="6">
        <v>53.5</v>
      </c>
      <c r="AD6" s="6">
        <v>43.5</v>
      </c>
      <c r="AE6" s="6">
        <v>62.2</v>
      </c>
      <c r="AF6" s="6">
        <v>55</v>
      </c>
      <c r="AG6" s="6">
        <v>50</v>
      </c>
      <c r="AH6" s="6">
        <v>55</v>
      </c>
      <c r="AI6" s="6">
        <v>70.099999999999994</v>
      </c>
      <c r="AJ6" s="6">
        <v>69.900000000000006</v>
      </c>
      <c r="AK6" s="6">
        <v>84.5</v>
      </c>
      <c r="AL6" s="6">
        <v>67.3</v>
      </c>
      <c r="AM6" s="6">
        <v>77</v>
      </c>
      <c r="AN6" s="6">
        <v>62.8</v>
      </c>
      <c r="AO6" s="6">
        <v>53.4</v>
      </c>
      <c r="AP6" s="6">
        <v>43.3</v>
      </c>
      <c r="AQ6" s="6">
        <v>61.5</v>
      </c>
      <c r="AR6" s="6">
        <v>53</v>
      </c>
      <c r="AS6" s="6">
        <v>60</v>
      </c>
      <c r="AT6" s="6">
        <v>55.5</v>
      </c>
      <c r="AU6" s="6">
        <v>61.2</v>
      </c>
      <c r="AV6" s="6">
        <v>74</v>
      </c>
      <c r="AW6" s="6">
        <v>82.5</v>
      </c>
      <c r="AX6" s="6"/>
      <c r="AY6" s="6">
        <v>69.8</v>
      </c>
      <c r="AZ6" s="6">
        <v>73.900000000000006</v>
      </c>
      <c r="BA6" s="6">
        <v>70.599999999999994</v>
      </c>
      <c r="BB6" s="6">
        <v>76.2</v>
      </c>
      <c r="BC6" s="6">
        <v>63.3</v>
      </c>
      <c r="BD6" s="6">
        <v>74.5</v>
      </c>
      <c r="BE6" s="6">
        <v>82.3</v>
      </c>
      <c r="BF6" s="6">
        <v>86.1</v>
      </c>
      <c r="BG6" s="6">
        <v>69.900000000000006</v>
      </c>
      <c r="BH6" s="6">
        <v>57</v>
      </c>
      <c r="BI6" s="6">
        <v>76.3</v>
      </c>
      <c r="BJ6" s="6">
        <v>45.7</v>
      </c>
      <c r="BK6" s="6">
        <v>64.400000000000006</v>
      </c>
      <c r="BL6" s="6">
        <v>83.3</v>
      </c>
      <c r="BM6" s="6">
        <v>89.6</v>
      </c>
      <c r="BN6" s="6">
        <v>65.599999999999994</v>
      </c>
      <c r="BO6" s="6">
        <v>89.1</v>
      </c>
      <c r="BP6" s="6">
        <v>87.7</v>
      </c>
      <c r="BQ6" s="6">
        <v>71.2</v>
      </c>
      <c r="BR6" s="6">
        <v>79.5</v>
      </c>
      <c r="BS6" s="6">
        <v>73.8</v>
      </c>
      <c r="BT6" s="6">
        <v>76.599999999999994</v>
      </c>
      <c r="BU6" s="6">
        <v>62.9</v>
      </c>
      <c r="BV6" s="6"/>
      <c r="BW6" s="6">
        <v>53.2</v>
      </c>
      <c r="BX6" s="6">
        <v>52.5</v>
      </c>
      <c r="BY6" s="6">
        <v>36.299999999999997</v>
      </c>
      <c r="BZ6" s="6">
        <v>87.8</v>
      </c>
      <c r="CA6" s="6">
        <v>63.7</v>
      </c>
      <c r="CB6" s="6">
        <v>47.1</v>
      </c>
      <c r="CC6" s="6">
        <v>57.6</v>
      </c>
      <c r="CD6" s="6">
        <v>94.3</v>
      </c>
      <c r="CE6" s="6">
        <v>89.3</v>
      </c>
      <c r="CF6" s="6">
        <v>63.6</v>
      </c>
      <c r="CG6" s="6">
        <v>37.799999999999997</v>
      </c>
      <c r="CH6" s="6">
        <v>72.8</v>
      </c>
      <c r="CI6" s="6">
        <v>63.1</v>
      </c>
      <c r="CJ6" s="6">
        <v>72.2</v>
      </c>
      <c r="CK6" s="6">
        <v>61</v>
      </c>
      <c r="CL6" s="6">
        <v>69.8</v>
      </c>
      <c r="CM6" s="6">
        <v>87.9</v>
      </c>
      <c r="CN6" s="6">
        <v>39.9</v>
      </c>
      <c r="CO6" s="6">
        <v>82.3</v>
      </c>
      <c r="CP6" s="6">
        <v>45.7</v>
      </c>
      <c r="CQ6" s="6">
        <v>63.5</v>
      </c>
      <c r="CR6" s="6">
        <v>64.400000000000006</v>
      </c>
      <c r="CS6" s="6"/>
      <c r="CT6" s="6"/>
    </row>
    <row r="7" spans="2:98" x14ac:dyDescent="0.25">
      <c r="B7" s="8" t="s">
        <v>282</v>
      </c>
      <c r="C7" s="6">
        <v>1.6</v>
      </c>
      <c r="D7" s="6">
        <v>2</v>
      </c>
      <c r="E7" s="6">
        <v>1.8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v>2</v>
      </c>
      <c r="AB7" s="6">
        <v>1.85</v>
      </c>
      <c r="AC7" s="6">
        <v>1.9</v>
      </c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>
        <v>1.7</v>
      </c>
      <c r="AZ7" s="6">
        <v>1.84</v>
      </c>
      <c r="BA7" s="6">
        <v>1.99</v>
      </c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>
        <v>4.5</v>
      </c>
      <c r="BX7" s="6">
        <v>3.3</v>
      </c>
      <c r="BY7" s="6">
        <v>3.3</v>
      </c>
      <c r="BZ7" s="6">
        <v>2.6</v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</row>
    <row r="8" spans="2:98" x14ac:dyDescent="0.25">
      <c r="B8" s="8" t="s">
        <v>283</v>
      </c>
      <c r="C8" s="6">
        <v>7.0000000000000007E-2</v>
      </c>
      <c r="D8" s="6">
        <v>0.05</v>
      </c>
      <c r="E8" s="6">
        <v>7.0000000000000007E-2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>
        <v>0.1</v>
      </c>
      <c r="AB8" s="6">
        <v>0.15</v>
      </c>
      <c r="AC8" s="6">
        <v>0.15</v>
      </c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>
        <v>0.12</v>
      </c>
      <c r="AZ8" s="6">
        <v>0.17</v>
      </c>
      <c r="BA8" s="6">
        <v>0.115</v>
      </c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>
        <v>0.115</v>
      </c>
      <c r="BX8" s="6">
        <v>0.12</v>
      </c>
      <c r="BY8" s="6">
        <v>0.19</v>
      </c>
      <c r="BZ8" s="6">
        <v>0.1</v>
      </c>
      <c r="CA8" s="6">
        <v>0.4</v>
      </c>
      <c r="CB8" s="6">
        <v>0.9</v>
      </c>
      <c r="CC8" s="6">
        <v>0.2</v>
      </c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</row>
    <row r="9" spans="2:98" x14ac:dyDescent="0.25">
      <c r="B9" s="1"/>
    </row>
  </sheetData>
  <mergeCells count="4">
    <mergeCell ref="C3:Z3"/>
    <mergeCell ref="AA3:AX3"/>
    <mergeCell ref="AY3:BV3"/>
    <mergeCell ref="BW3:CT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2DB18-2209-4A02-804E-96C33B2EF8D0}">
  <dimension ref="C3:N39"/>
  <sheetViews>
    <sheetView topLeftCell="A9" workbookViewId="0">
      <selection activeCell="R26" sqref="R26"/>
    </sheetView>
  </sheetViews>
  <sheetFormatPr defaultRowHeight="15" x14ac:dyDescent="0.25"/>
  <cols>
    <col min="3" max="3" width="13.140625" customWidth="1"/>
    <col min="5" max="5" width="12.5703125" customWidth="1"/>
    <col min="6" max="6" width="13.5703125" customWidth="1"/>
    <col min="8" max="8" width="9.42578125" customWidth="1"/>
    <col min="10" max="10" width="11" customWidth="1"/>
    <col min="11" max="11" width="13.5703125" customWidth="1"/>
    <col min="12" max="12" width="14.7109375" customWidth="1"/>
    <col min="13" max="13" width="14.85546875" customWidth="1"/>
    <col min="14" max="14" width="16.42578125" customWidth="1"/>
  </cols>
  <sheetData>
    <row r="3" spans="3:14" ht="30" x14ac:dyDescent="0.25">
      <c r="C3" s="90" t="s">
        <v>284</v>
      </c>
      <c r="D3" s="90" t="s">
        <v>285</v>
      </c>
      <c r="E3" s="90" t="s">
        <v>286</v>
      </c>
      <c r="F3" s="91" t="s">
        <v>287</v>
      </c>
      <c r="G3" s="91" t="s">
        <v>288</v>
      </c>
      <c r="H3" s="91" t="s">
        <v>289</v>
      </c>
      <c r="I3" s="91" t="s">
        <v>290</v>
      </c>
      <c r="J3" s="91" t="s">
        <v>291</v>
      </c>
      <c r="K3" s="91" t="s">
        <v>292</v>
      </c>
      <c r="L3" s="91" t="s">
        <v>293</v>
      </c>
      <c r="M3" s="91" t="s">
        <v>294</v>
      </c>
      <c r="N3" s="91" t="s">
        <v>295</v>
      </c>
    </row>
    <row r="4" spans="3:14" x14ac:dyDescent="0.25">
      <c r="C4" s="166" t="s">
        <v>15</v>
      </c>
      <c r="D4" s="4"/>
      <c r="E4" s="92">
        <v>45956</v>
      </c>
      <c r="F4" s="93">
        <f t="shared" ref="F4:F39" ca="1" si="0">DATEDIF(E4,TODAY(),"m")</f>
        <v>5</v>
      </c>
      <c r="G4" s="21" t="s">
        <v>296</v>
      </c>
      <c r="H4" s="21">
        <v>28</v>
      </c>
      <c r="I4" s="21">
        <v>120.1</v>
      </c>
      <c r="J4" s="21">
        <v>115.2</v>
      </c>
      <c r="K4" s="21">
        <f>I4-J4</f>
        <v>4.8999999999999915</v>
      </c>
      <c r="L4" s="21">
        <v>3</v>
      </c>
      <c r="M4" s="94">
        <f t="shared" ref="M4:M39" si="1">(K4/H4)*30</f>
        <v>5.2499999999999902</v>
      </c>
      <c r="N4" s="94">
        <f t="shared" ref="N4:N39" si="2">(L4/H4)*30</f>
        <v>3.214285714285714</v>
      </c>
    </row>
    <row r="5" spans="3:14" x14ac:dyDescent="0.25">
      <c r="C5" s="166"/>
      <c r="D5" s="4"/>
      <c r="E5" s="92">
        <v>45956</v>
      </c>
      <c r="F5" s="93">
        <f t="shared" ca="1" si="0"/>
        <v>5</v>
      </c>
      <c r="G5" s="21" t="s">
        <v>296</v>
      </c>
      <c r="H5" s="21">
        <v>29.2</v>
      </c>
      <c r="I5" s="21">
        <v>123.8</v>
      </c>
      <c r="J5" s="21">
        <v>109.2</v>
      </c>
      <c r="K5" s="21">
        <f>I5-J5</f>
        <v>14.599999999999994</v>
      </c>
      <c r="L5" s="21">
        <v>9</v>
      </c>
      <c r="M5" s="94">
        <f t="shared" si="1"/>
        <v>14.999999999999995</v>
      </c>
      <c r="N5" s="94">
        <f t="shared" si="2"/>
        <v>9.2465753424657535</v>
      </c>
    </row>
    <row r="6" spans="3:14" x14ac:dyDescent="0.25">
      <c r="C6" s="166"/>
      <c r="D6" s="4"/>
      <c r="E6" s="92">
        <v>45956</v>
      </c>
      <c r="F6" s="93">
        <f t="shared" ca="1" si="0"/>
        <v>5</v>
      </c>
      <c r="G6" s="21" t="s">
        <v>296</v>
      </c>
      <c r="H6" s="21">
        <v>27</v>
      </c>
      <c r="I6" s="21">
        <v>120.9</v>
      </c>
      <c r="J6" s="21">
        <v>115.5</v>
      </c>
      <c r="K6" s="21">
        <f>I6-J6</f>
        <v>5.4000000000000057</v>
      </c>
      <c r="L6" s="21">
        <v>2.5</v>
      </c>
      <c r="M6" s="94">
        <f t="shared" si="1"/>
        <v>6.0000000000000062</v>
      </c>
      <c r="N6" s="94">
        <f t="shared" si="2"/>
        <v>2.7777777777777777</v>
      </c>
    </row>
    <row r="7" spans="3:14" x14ac:dyDescent="0.25">
      <c r="C7" s="166"/>
      <c r="D7" s="4"/>
      <c r="E7" s="92">
        <v>45956</v>
      </c>
      <c r="F7" s="93">
        <f t="shared" ca="1" si="0"/>
        <v>5</v>
      </c>
      <c r="G7" s="21" t="s">
        <v>296</v>
      </c>
      <c r="H7" s="21">
        <v>27.8</v>
      </c>
      <c r="I7" s="21">
        <v>121.4</v>
      </c>
      <c r="J7" s="21">
        <v>118.8</v>
      </c>
      <c r="K7" s="95">
        <v>7</v>
      </c>
      <c r="L7" s="21">
        <v>3.3</v>
      </c>
      <c r="M7" s="94">
        <f t="shared" si="1"/>
        <v>7.5539568345323733</v>
      </c>
      <c r="N7" s="94">
        <f t="shared" si="2"/>
        <v>3.5611510791366907</v>
      </c>
    </row>
    <row r="8" spans="3:14" x14ac:dyDescent="0.25">
      <c r="C8" s="166"/>
      <c r="D8" s="4"/>
      <c r="E8" s="92">
        <v>45956</v>
      </c>
      <c r="F8" s="93">
        <f t="shared" ca="1" si="0"/>
        <v>5</v>
      </c>
      <c r="G8" s="21" t="s">
        <v>44</v>
      </c>
      <c r="H8" s="21">
        <v>22.7</v>
      </c>
      <c r="I8" s="21">
        <v>122.9</v>
      </c>
      <c r="J8" s="21">
        <v>109.1</v>
      </c>
      <c r="K8" s="21">
        <f t="shared" ref="K8:K39" si="3">I8-J8</f>
        <v>13.800000000000011</v>
      </c>
      <c r="L8" s="21">
        <v>7.4</v>
      </c>
      <c r="M8" s="94">
        <f t="shared" si="1"/>
        <v>18.237885462555081</v>
      </c>
      <c r="N8" s="94">
        <f t="shared" si="2"/>
        <v>9.7797356828193838</v>
      </c>
    </row>
    <row r="9" spans="3:14" x14ac:dyDescent="0.25">
      <c r="C9" s="166"/>
      <c r="D9" s="4"/>
      <c r="E9" s="92">
        <v>45980</v>
      </c>
      <c r="F9" s="93">
        <f t="shared" ca="1" si="0"/>
        <v>5</v>
      </c>
      <c r="G9" s="21" t="s">
        <v>44</v>
      </c>
      <c r="H9" s="21">
        <v>17</v>
      </c>
      <c r="I9" s="21">
        <v>116.3</v>
      </c>
      <c r="J9" s="21">
        <v>103.6</v>
      </c>
      <c r="K9" s="21">
        <f t="shared" si="3"/>
        <v>12.700000000000003</v>
      </c>
      <c r="L9" s="21">
        <v>5</v>
      </c>
      <c r="M9" s="94">
        <f t="shared" si="1"/>
        <v>22.411764705882355</v>
      </c>
      <c r="N9" s="94">
        <f t="shared" si="2"/>
        <v>8.8235294117647065</v>
      </c>
    </row>
    <row r="10" spans="3:14" x14ac:dyDescent="0.25">
      <c r="C10" s="166"/>
      <c r="D10" s="4"/>
      <c r="E10" s="92">
        <v>45980</v>
      </c>
      <c r="F10" s="93">
        <f t="shared" ca="1" si="0"/>
        <v>5</v>
      </c>
      <c r="G10" s="21" t="s">
        <v>44</v>
      </c>
      <c r="H10" s="21">
        <v>19.3</v>
      </c>
      <c r="I10" s="21">
        <v>118.6</v>
      </c>
      <c r="J10" s="21">
        <v>105.5</v>
      </c>
      <c r="K10" s="21">
        <f t="shared" si="3"/>
        <v>13.099999999999994</v>
      </c>
      <c r="L10" s="21">
        <v>6.5</v>
      </c>
      <c r="M10" s="94">
        <f t="shared" si="1"/>
        <v>20.362694300518125</v>
      </c>
      <c r="N10" s="94">
        <f t="shared" si="2"/>
        <v>10.10362694300518</v>
      </c>
    </row>
    <row r="11" spans="3:14" x14ac:dyDescent="0.25">
      <c r="C11" s="166"/>
      <c r="D11" s="4"/>
      <c r="E11" s="92">
        <v>45980</v>
      </c>
      <c r="F11" s="93">
        <f t="shared" ca="1" si="0"/>
        <v>5</v>
      </c>
      <c r="G11" s="21" t="s">
        <v>44</v>
      </c>
      <c r="H11" s="21">
        <v>15.7</v>
      </c>
      <c r="I11" s="21">
        <v>117.7</v>
      </c>
      <c r="J11" s="21">
        <v>108.4</v>
      </c>
      <c r="K11" s="21">
        <f t="shared" si="3"/>
        <v>9.2999999999999972</v>
      </c>
      <c r="L11" s="21">
        <v>2.7</v>
      </c>
      <c r="M11" s="94">
        <f t="shared" si="1"/>
        <v>17.770700636942671</v>
      </c>
      <c r="N11" s="94">
        <f t="shared" si="2"/>
        <v>5.1592356687898091</v>
      </c>
    </row>
    <row r="12" spans="3:14" x14ac:dyDescent="0.25">
      <c r="C12" s="166" t="s">
        <v>297</v>
      </c>
      <c r="D12" s="4"/>
      <c r="E12" s="92">
        <v>45931</v>
      </c>
      <c r="F12" s="93">
        <f t="shared" ca="1" si="0"/>
        <v>6</v>
      </c>
      <c r="G12" s="21" t="s">
        <v>296</v>
      </c>
      <c r="H12" s="21">
        <v>24.4</v>
      </c>
      <c r="I12" s="21">
        <v>122.5</v>
      </c>
      <c r="J12" s="21">
        <v>116.8</v>
      </c>
      <c r="K12" s="21">
        <f t="shared" si="3"/>
        <v>5.7000000000000028</v>
      </c>
      <c r="L12" s="21">
        <v>3</v>
      </c>
      <c r="M12" s="94">
        <f t="shared" si="1"/>
        <v>7.0081967213114789</v>
      </c>
      <c r="N12" s="94">
        <f t="shared" si="2"/>
        <v>3.6885245901639347</v>
      </c>
    </row>
    <row r="13" spans="3:14" x14ac:dyDescent="0.25">
      <c r="C13" s="166"/>
      <c r="D13" s="4"/>
      <c r="E13" s="92">
        <v>45931</v>
      </c>
      <c r="F13" s="93">
        <f t="shared" ca="1" si="0"/>
        <v>6</v>
      </c>
      <c r="G13" s="21" t="s">
        <v>296</v>
      </c>
      <c r="H13" s="21">
        <v>26.8</v>
      </c>
      <c r="I13" s="21">
        <v>119.9</v>
      </c>
      <c r="J13" s="21">
        <v>110.2</v>
      </c>
      <c r="K13" s="21">
        <f t="shared" si="3"/>
        <v>9.7000000000000028</v>
      </c>
      <c r="L13" s="21">
        <v>4</v>
      </c>
      <c r="M13" s="94">
        <f t="shared" si="1"/>
        <v>10.858208955223883</v>
      </c>
      <c r="N13" s="94">
        <f t="shared" si="2"/>
        <v>4.4776119402985071</v>
      </c>
    </row>
    <row r="14" spans="3:14" x14ac:dyDescent="0.25">
      <c r="C14" s="166"/>
      <c r="D14" s="4"/>
      <c r="E14" s="92">
        <v>45931</v>
      </c>
      <c r="F14" s="93">
        <f t="shared" ca="1" si="0"/>
        <v>6</v>
      </c>
      <c r="G14" s="21" t="s">
        <v>296</v>
      </c>
      <c r="H14" s="21">
        <v>24.1</v>
      </c>
      <c r="I14" s="21">
        <v>111.2</v>
      </c>
      <c r="J14" s="21">
        <v>103.9</v>
      </c>
      <c r="K14" s="21">
        <f t="shared" si="3"/>
        <v>7.2999999999999972</v>
      </c>
      <c r="L14" s="21">
        <v>1.9</v>
      </c>
      <c r="M14" s="94">
        <f t="shared" si="1"/>
        <v>9.0871369294605771</v>
      </c>
      <c r="N14" s="94">
        <f t="shared" si="2"/>
        <v>2.3651452282157677</v>
      </c>
    </row>
    <row r="15" spans="3:14" x14ac:dyDescent="0.25">
      <c r="C15" s="166"/>
      <c r="D15" s="4"/>
      <c r="E15" s="92">
        <v>45931</v>
      </c>
      <c r="F15" s="93">
        <f t="shared" ca="1" si="0"/>
        <v>6</v>
      </c>
      <c r="G15" s="21" t="s">
        <v>296</v>
      </c>
      <c r="H15" s="21">
        <v>25.4</v>
      </c>
      <c r="I15" s="21">
        <v>119.1</v>
      </c>
      <c r="J15" s="21">
        <v>110.5</v>
      </c>
      <c r="K15" s="21">
        <f t="shared" si="3"/>
        <v>8.5999999999999943</v>
      </c>
      <c r="L15" s="21">
        <v>3.5</v>
      </c>
      <c r="M15" s="94">
        <f t="shared" si="1"/>
        <v>10.157480314960624</v>
      </c>
      <c r="N15" s="94">
        <f t="shared" si="2"/>
        <v>4.1338582677165352</v>
      </c>
    </row>
    <row r="16" spans="3:14" x14ac:dyDescent="0.25">
      <c r="C16" s="166"/>
      <c r="D16" s="4"/>
      <c r="E16" s="92">
        <v>45913</v>
      </c>
      <c r="F16" s="93">
        <f t="shared" ca="1" si="0"/>
        <v>7</v>
      </c>
      <c r="G16" s="21" t="s">
        <v>44</v>
      </c>
      <c r="H16" s="21">
        <v>23.4</v>
      </c>
      <c r="I16" s="21">
        <v>120.9</v>
      </c>
      <c r="J16" s="21">
        <v>115.2</v>
      </c>
      <c r="K16" s="21">
        <f t="shared" si="3"/>
        <v>5.7000000000000028</v>
      </c>
      <c r="L16" s="21">
        <v>1.55</v>
      </c>
      <c r="M16" s="94">
        <f t="shared" si="1"/>
        <v>7.3076923076923119</v>
      </c>
      <c r="N16" s="94">
        <f t="shared" si="2"/>
        <v>1.9871794871794872</v>
      </c>
    </row>
    <row r="17" spans="3:14" x14ac:dyDescent="0.25">
      <c r="C17" s="166"/>
      <c r="D17" s="4"/>
      <c r="E17" s="92">
        <v>45913</v>
      </c>
      <c r="F17" s="93">
        <f t="shared" ca="1" si="0"/>
        <v>7</v>
      </c>
      <c r="G17" s="21" t="s">
        <v>44</v>
      </c>
      <c r="H17" s="21">
        <v>24.2</v>
      </c>
      <c r="I17" s="21">
        <v>122.7</v>
      </c>
      <c r="J17" s="21">
        <v>108.4</v>
      </c>
      <c r="K17" s="21">
        <f t="shared" si="3"/>
        <v>14.299999999999997</v>
      </c>
      <c r="L17" s="21">
        <v>6.7</v>
      </c>
      <c r="M17" s="94">
        <f t="shared" si="1"/>
        <v>17.727272727272727</v>
      </c>
      <c r="N17" s="94">
        <f t="shared" si="2"/>
        <v>8.3057851239669436</v>
      </c>
    </row>
    <row r="18" spans="3:14" x14ac:dyDescent="0.25">
      <c r="C18" s="166"/>
      <c r="D18" s="4"/>
      <c r="E18" s="92">
        <v>45913</v>
      </c>
      <c r="F18" s="93">
        <f t="shared" ca="1" si="0"/>
        <v>7</v>
      </c>
      <c r="G18" s="21" t="s">
        <v>44</v>
      </c>
      <c r="H18" s="21">
        <v>26.6</v>
      </c>
      <c r="I18" s="21">
        <v>119.1</v>
      </c>
      <c r="J18" s="21">
        <v>111.6</v>
      </c>
      <c r="K18" s="21">
        <f t="shared" si="3"/>
        <v>7.5</v>
      </c>
      <c r="L18" s="21">
        <v>2</v>
      </c>
      <c r="M18" s="94">
        <f t="shared" si="1"/>
        <v>8.458646616541353</v>
      </c>
      <c r="N18" s="94">
        <f t="shared" si="2"/>
        <v>2.2556390977443606</v>
      </c>
    </row>
    <row r="19" spans="3:14" x14ac:dyDescent="0.25">
      <c r="C19" s="166"/>
      <c r="D19" s="4"/>
      <c r="E19" s="92">
        <v>45913</v>
      </c>
      <c r="F19" s="93">
        <f t="shared" ca="1" si="0"/>
        <v>7</v>
      </c>
      <c r="G19" s="21" t="s">
        <v>44</v>
      </c>
      <c r="H19" s="21">
        <v>24.8</v>
      </c>
      <c r="I19" s="21">
        <v>116.4</v>
      </c>
      <c r="J19" s="21">
        <v>109.8</v>
      </c>
      <c r="K19" s="21">
        <f t="shared" si="3"/>
        <v>6.6000000000000085</v>
      </c>
      <c r="L19" s="21">
        <v>2</v>
      </c>
      <c r="M19" s="94">
        <f t="shared" si="1"/>
        <v>7.9838709677419448</v>
      </c>
      <c r="N19" s="94">
        <f t="shared" si="2"/>
        <v>2.4193548387096775</v>
      </c>
    </row>
    <row r="20" spans="3:14" x14ac:dyDescent="0.25">
      <c r="C20" s="166" t="s">
        <v>298</v>
      </c>
      <c r="D20" s="4"/>
      <c r="E20" s="92">
        <v>45931</v>
      </c>
      <c r="F20" s="93">
        <f t="shared" ca="1" si="0"/>
        <v>6</v>
      </c>
      <c r="G20" s="21" t="s">
        <v>296</v>
      </c>
      <c r="H20" s="21">
        <v>23.6</v>
      </c>
      <c r="I20" s="21">
        <v>117.4</v>
      </c>
      <c r="J20" s="21">
        <v>110.4</v>
      </c>
      <c r="K20" s="21">
        <f t="shared" si="3"/>
        <v>7</v>
      </c>
      <c r="L20" s="21">
        <v>2.2000000000000002</v>
      </c>
      <c r="M20" s="94">
        <f t="shared" si="1"/>
        <v>8.898305084745763</v>
      </c>
      <c r="N20" s="94">
        <f t="shared" si="2"/>
        <v>2.7966101694915255</v>
      </c>
    </row>
    <row r="21" spans="3:14" x14ac:dyDescent="0.25">
      <c r="C21" s="166"/>
      <c r="D21" s="4"/>
      <c r="E21" s="92">
        <v>45949</v>
      </c>
      <c r="F21" s="93">
        <f t="shared" ca="1" si="0"/>
        <v>6</v>
      </c>
      <c r="G21" s="21" t="s">
        <v>296</v>
      </c>
      <c r="H21" s="21">
        <v>22.5</v>
      </c>
      <c r="I21" s="21">
        <v>121.9</v>
      </c>
      <c r="J21" s="21">
        <v>115.7</v>
      </c>
      <c r="K21" s="21">
        <f t="shared" si="3"/>
        <v>6.2000000000000028</v>
      </c>
      <c r="L21" s="21">
        <v>2.5499999999999998</v>
      </c>
      <c r="M21" s="94">
        <f t="shared" si="1"/>
        <v>8.2666666666666693</v>
      </c>
      <c r="N21" s="94">
        <f t="shared" si="2"/>
        <v>3.4</v>
      </c>
    </row>
    <row r="22" spans="3:14" x14ac:dyDescent="0.25">
      <c r="C22" s="166"/>
      <c r="D22" s="4"/>
      <c r="E22" s="92">
        <v>45949</v>
      </c>
      <c r="F22" s="93">
        <f t="shared" ca="1" si="0"/>
        <v>6</v>
      </c>
      <c r="G22" s="21" t="s">
        <v>296</v>
      </c>
      <c r="H22" s="21">
        <v>21.3</v>
      </c>
      <c r="I22" s="21">
        <v>114.7</v>
      </c>
      <c r="J22" s="21">
        <v>108.7</v>
      </c>
      <c r="K22" s="21">
        <f t="shared" si="3"/>
        <v>6</v>
      </c>
      <c r="L22" s="21">
        <v>1.25</v>
      </c>
      <c r="M22" s="94">
        <f t="shared" si="1"/>
        <v>8.4507042253521139</v>
      </c>
      <c r="N22" s="94">
        <f t="shared" si="2"/>
        <v>1.7605633802816902</v>
      </c>
    </row>
    <row r="23" spans="3:14" x14ac:dyDescent="0.25">
      <c r="C23" s="166"/>
      <c r="D23" s="4"/>
      <c r="E23" s="92">
        <v>45949</v>
      </c>
      <c r="F23" s="93">
        <f t="shared" ca="1" si="0"/>
        <v>6</v>
      </c>
      <c r="G23" s="21" t="s">
        <v>296</v>
      </c>
      <c r="H23" s="21">
        <v>25.6</v>
      </c>
      <c r="I23" s="21">
        <v>118.9</v>
      </c>
      <c r="J23" s="21">
        <v>111.3</v>
      </c>
      <c r="K23" s="21">
        <f t="shared" si="3"/>
        <v>7.6000000000000085</v>
      </c>
      <c r="L23" s="21">
        <v>3</v>
      </c>
      <c r="M23" s="94">
        <f t="shared" si="1"/>
        <v>8.9062500000000107</v>
      </c>
      <c r="N23" s="94">
        <f t="shared" si="2"/>
        <v>3.515625</v>
      </c>
    </row>
    <row r="24" spans="3:14" x14ac:dyDescent="0.25">
      <c r="C24" s="166"/>
      <c r="D24" s="4"/>
      <c r="E24" s="92">
        <v>45913</v>
      </c>
      <c r="F24" s="93">
        <f t="shared" ca="1" si="0"/>
        <v>7</v>
      </c>
      <c r="G24" s="21" t="s">
        <v>44</v>
      </c>
      <c r="H24" s="21">
        <v>22.5</v>
      </c>
      <c r="I24" s="21">
        <v>120.9</v>
      </c>
      <c r="J24" s="21">
        <v>115.1</v>
      </c>
      <c r="K24" s="21">
        <f t="shared" si="3"/>
        <v>5.8000000000000114</v>
      </c>
      <c r="L24" s="21">
        <v>1.8</v>
      </c>
      <c r="M24" s="94">
        <f t="shared" si="1"/>
        <v>7.7333333333333485</v>
      </c>
      <c r="N24" s="94">
        <f t="shared" si="2"/>
        <v>2.4</v>
      </c>
    </row>
    <row r="25" spans="3:14" x14ac:dyDescent="0.25">
      <c r="C25" s="166"/>
      <c r="D25" s="4"/>
      <c r="E25" s="92">
        <v>45931</v>
      </c>
      <c r="F25" s="93">
        <f t="shared" ca="1" si="0"/>
        <v>6</v>
      </c>
      <c r="G25" s="21" t="s">
        <v>44</v>
      </c>
      <c r="H25" s="21">
        <v>22.3</v>
      </c>
      <c r="I25" s="21">
        <v>124.2</v>
      </c>
      <c r="J25" s="21">
        <v>123</v>
      </c>
      <c r="K25" s="21">
        <f t="shared" si="3"/>
        <v>1.2000000000000028</v>
      </c>
      <c r="L25" s="21">
        <v>0.85</v>
      </c>
      <c r="M25" s="94">
        <f t="shared" si="1"/>
        <v>1.6143497757847571</v>
      </c>
      <c r="N25" s="94">
        <f t="shared" si="2"/>
        <v>1.1434977578475336</v>
      </c>
    </row>
    <row r="26" spans="3:14" x14ac:dyDescent="0.25">
      <c r="C26" s="166"/>
      <c r="D26" s="4"/>
      <c r="E26" s="92">
        <v>45931</v>
      </c>
      <c r="F26" s="93">
        <f t="shared" ca="1" si="0"/>
        <v>6</v>
      </c>
      <c r="G26" s="21" t="s">
        <v>44</v>
      </c>
      <c r="H26" s="21">
        <v>23</v>
      </c>
      <c r="I26" s="21">
        <v>121.8</v>
      </c>
      <c r="J26" s="21">
        <v>116</v>
      </c>
      <c r="K26" s="21">
        <f t="shared" si="3"/>
        <v>5.7999999999999972</v>
      </c>
      <c r="L26" s="21">
        <v>1.6</v>
      </c>
      <c r="M26" s="94">
        <f t="shared" si="1"/>
        <v>7.5652173913043441</v>
      </c>
      <c r="N26" s="94">
        <f t="shared" si="2"/>
        <v>2.0869565217391304</v>
      </c>
    </row>
    <row r="27" spans="3:14" x14ac:dyDescent="0.25">
      <c r="C27" s="166"/>
      <c r="D27" s="4"/>
      <c r="E27" s="92">
        <v>45931</v>
      </c>
      <c r="F27" s="93">
        <f t="shared" ca="1" si="0"/>
        <v>6</v>
      </c>
      <c r="G27" s="21" t="s">
        <v>44</v>
      </c>
      <c r="H27" s="21">
        <v>23.6</v>
      </c>
      <c r="I27" s="21">
        <v>117</v>
      </c>
      <c r="J27" s="21">
        <v>112.3</v>
      </c>
      <c r="K27" s="21">
        <f t="shared" si="3"/>
        <v>4.7000000000000028</v>
      </c>
      <c r="L27" s="21">
        <v>1.8</v>
      </c>
      <c r="M27" s="94">
        <f t="shared" si="1"/>
        <v>5.9745762711864439</v>
      </c>
      <c r="N27" s="94">
        <f t="shared" si="2"/>
        <v>2.2881355932203387</v>
      </c>
    </row>
    <row r="28" spans="3:14" x14ac:dyDescent="0.25">
      <c r="C28" s="166" t="s">
        <v>299</v>
      </c>
      <c r="D28" s="4"/>
      <c r="E28" s="92">
        <v>45952</v>
      </c>
      <c r="F28" s="93">
        <f t="shared" ca="1" si="0"/>
        <v>6</v>
      </c>
      <c r="G28" s="21" t="s">
        <v>296</v>
      </c>
      <c r="H28" s="21">
        <v>22.4</v>
      </c>
      <c r="I28" s="21">
        <v>123.3</v>
      </c>
      <c r="J28" s="21">
        <v>120.8</v>
      </c>
      <c r="K28" s="21">
        <f t="shared" si="3"/>
        <v>2.5</v>
      </c>
      <c r="L28" s="21">
        <v>0.7</v>
      </c>
      <c r="M28" s="94">
        <f t="shared" si="1"/>
        <v>3.348214285714286</v>
      </c>
      <c r="N28" s="94">
        <f t="shared" si="2"/>
        <v>0.9375</v>
      </c>
    </row>
    <row r="29" spans="3:14" x14ac:dyDescent="0.25">
      <c r="C29" s="166"/>
      <c r="D29" s="4"/>
      <c r="E29" s="92">
        <v>45952</v>
      </c>
      <c r="F29" s="93">
        <f t="shared" ca="1" si="0"/>
        <v>6</v>
      </c>
      <c r="G29" s="21" t="s">
        <v>296</v>
      </c>
      <c r="H29" s="21">
        <v>24</v>
      </c>
      <c r="I29" s="21">
        <v>124.6</v>
      </c>
      <c r="J29" s="21">
        <v>119.3</v>
      </c>
      <c r="K29" s="21">
        <f t="shared" si="3"/>
        <v>5.2999999999999972</v>
      </c>
      <c r="L29" s="21">
        <v>2.2999999999999998</v>
      </c>
      <c r="M29" s="94">
        <f t="shared" si="1"/>
        <v>6.6249999999999964</v>
      </c>
      <c r="N29" s="94">
        <f t="shared" si="2"/>
        <v>2.875</v>
      </c>
    </row>
    <row r="30" spans="3:14" x14ac:dyDescent="0.25">
      <c r="C30" s="166"/>
      <c r="D30" s="4"/>
      <c r="E30" s="92">
        <v>45952</v>
      </c>
      <c r="F30" s="93">
        <f t="shared" ca="1" si="0"/>
        <v>6</v>
      </c>
      <c r="G30" s="21" t="s">
        <v>296</v>
      </c>
      <c r="H30" s="21">
        <v>25</v>
      </c>
      <c r="I30" s="21">
        <v>126.5</v>
      </c>
      <c r="J30" s="21">
        <v>120</v>
      </c>
      <c r="K30" s="21">
        <f t="shared" si="3"/>
        <v>6.5</v>
      </c>
      <c r="L30" s="21">
        <v>0.6</v>
      </c>
      <c r="M30" s="94">
        <f t="shared" si="1"/>
        <v>7.8000000000000007</v>
      </c>
      <c r="N30" s="94">
        <f t="shared" si="2"/>
        <v>0.72</v>
      </c>
    </row>
    <row r="31" spans="3:14" x14ac:dyDescent="0.25">
      <c r="C31" s="166"/>
      <c r="D31" s="4"/>
      <c r="E31" s="92">
        <v>45952</v>
      </c>
      <c r="F31" s="93">
        <f t="shared" ca="1" si="0"/>
        <v>6</v>
      </c>
      <c r="G31" s="21" t="s">
        <v>296</v>
      </c>
      <c r="H31" s="21">
        <v>24.8</v>
      </c>
      <c r="I31" s="21">
        <v>124.6</v>
      </c>
      <c r="J31" s="21">
        <v>116.6</v>
      </c>
      <c r="K31" s="21">
        <f t="shared" si="3"/>
        <v>8</v>
      </c>
      <c r="L31" s="21">
        <v>3.2</v>
      </c>
      <c r="M31" s="94">
        <f t="shared" si="1"/>
        <v>9.67741935483871</v>
      </c>
      <c r="N31" s="94">
        <f t="shared" si="2"/>
        <v>3.870967741935484</v>
      </c>
    </row>
    <row r="32" spans="3:14" x14ac:dyDescent="0.25">
      <c r="C32" s="166"/>
      <c r="D32" s="4"/>
      <c r="E32" s="92">
        <v>45980</v>
      </c>
      <c r="F32" s="93">
        <f t="shared" ca="1" si="0"/>
        <v>5</v>
      </c>
      <c r="G32" s="21" t="s">
        <v>44</v>
      </c>
      <c r="H32" s="21">
        <v>16</v>
      </c>
      <c r="I32" s="21">
        <v>129.19999999999999</v>
      </c>
      <c r="J32" s="21">
        <v>126</v>
      </c>
      <c r="K32" s="21">
        <f t="shared" si="3"/>
        <v>3.1999999999999886</v>
      </c>
      <c r="L32" s="21">
        <v>0.4</v>
      </c>
      <c r="M32" s="94">
        <f t="shared" si="1"/>
        <v>5.9999999999999787</v>
      </c>
      <c r="N32" s="94">
        <f t="shared" si="2"/>
        <v>0.75</v>
      </c>
    </row>
    <row r="33" spans="3:14" x14ac:dyDescent="0.25">
      <c r="C33" s="166"/>
      <c r="D33" s="4"/>
      <c r="E33" s="92">
        <v>45980</v>
      </c>
      <c r="F33" s="93">
        <f t="shared" ca="1" si="0"/>
        <v>5</v>
      </c>
      <c r="G33" s="21" t="s">
        <v>44</v>
      </c>
      <c r="H33" s="21">
        <v>16.600000000000001</v>
      </c>
      <c r="I33" s="21">
        <v>116.7</v>
      </c>
      <c r="J33" s="21">
        <v>109.2</v>
      </c>
      <c r="K33" s="21">
        <f t="shared" si="3"/>
        <v>7.5</v>
      </c>
      <c r="L33" s="21">
        <v>1.1000000000000001</v>
      </c>
      <c r="M33" s="94">
        <f t="shared" si="1"/>
        <v>13.554216867469878</v>
      </c>
      <c r="N33" s="94">
        <f t="shared" si="2"/>
        <v>1.9879518072289157</v>
      </c>
    </row>
    <row r="34" spans="3:14" x14ac:dyDescent="0.25">
      <c r="C34" s="166"/>
      <c r="D34" s="4"/>
      <c r="E34" s="92">
        <v>45918</v>
      </c>
      <c r="F34" s="93">
        <f t="shared" ca="1" si="0"/>
        <v>7</v>
      </c>
      <c r="G34" s="21" t="s">
        <v>44</v>
      </c>
      <c r="H34" s="21">
        <v>23.5</v>
      </c>
      <c r="I34" s="21">
        <v>125.5</v>
      </c>
      <c r="J34" s="21">
        <v>120.2</v>
      </c>
      <c r="K34" s="21">
        <f t="shared" si="3"/>
        <v>5.2999999999999972</v>
      </c>
      <c r="L34" s="21">
        <v>2.5</v>
      </c>
      <c r="M34" s="94">
        <f t="shared" si="1"/>
        <v>6.7659574468085069</v>
      </c>
      <c r="N34" s="94">
        <f t="shared" si="2"/>
        <v>3.1914893617021276</v>
      </c>
    </row>
    <row r="35" spans="3:14" x14ac:dyDescent="0.25">
      <c r="C35" s="166"/>
      <c r="D35" s="4"/>
      <c r="E35" s="92">
        <v>45918</v>
      </c>
      <c r="F35" s="93">
        <f t="shared" ca="1" si="0"/>
        <v>7</v>
      </c>
      <c r="G35" s="21" t="s">
        <v>44</v>
      </c>
      <c r="H35" s="21">
        <v>21.7</v>
      </c>
      <c r="I35" s="21">
        <v>107.3</v>
      </c>
      <c r="J35" s="21">
        <v>101.6</v>
      </c>
      <c r="K35" s="21">
        <f t="shared" si="3"/>
        <v>5.7000000000000028</v>
      </c>
      <c r="L35" s="21">
        <v>1.45</v>
      </c>
      <c r="M35" s="94">
        <f t="shared" si="1"/>
        <v>7.8801843317972393</v>
      </c>
      <c r="N35" s="94">
        <f t="shared" si="2"/>
        <v>2.0046082949308754</v>
      </c>
    </row>
    <row r="36" spans="3:14" x14ac:dyDescent="0.25">
      <c r="C36" s="166" t="s">
        <v>300</v>
      </c>
      <c r="D36" s="4"/>
      <c r="E36" s="92">
        <v>45933</v>
      </c>
      <c r="F36" s="93">
        <f t="shared" ca="1" si="0"/>
        <v>6</v>
      </c>
      <c r="G36" s="21" t="s">
        <v>296</v>
      </c>
      <c r="H36" s="21">
        <v>24</v>
      </c>
      <c r="I36" s="21">
        <v>123.4</v>
      </c>
      <c r="J36" s="21">
        <v>118.2</v>
      </c>
      <c r="K36" s="21">
        <f t="shared" si="3"/>
        <v>5.2000000000000028</v>
      </c>
      <c r="L36" s="21">
        <v>2.6</v>
      </c>
      <c r="M36" s="94">
        <f t="shared" si="1"/>
        <v>6.5000000000000036</v>
      </c>
      <c r="N36" s="94">
        <f t="shared" si="2"/>
        <v>3.25</v>
      </c>
    </row>
    <row r="37" spans="3:14" x14ac:dyDescent="0.25">
      <c r="C37" s="166"/>
      <c r="D37" s="4"/>
      <c r="E37" s="92">
        <v>45952</v>
      </c>
      <c r="F37" s="93">
        <f t="shared" ca="1" si="0"/>
        <v>6</v>
      </c>
      <c r="G37" s="21" t="s">
        <v>296</v>
      </c>
      <c r="H37" s="21">
        <v>24.6</v>
      </c>
      <c r="I37" s="21">
        <v>121</v>
      </c>
      <c r="J37" s="21">
        <v>112.7</v>
      </c>
      <c r="K37" s="21">
        <f t="shared" si="3"/>
        <v>8.2999999999999972</v>
      </c>
      <c r="L37" s="21">
        <v>5.2</v>
      </c>
      <c r="M37" s="94">
        <f t="shared" si="1"/>
        <v>10.121951219512193</v>
      </c>
      <c r="N37" s="94">
        <f t="shared" si="2"/>
        <v>6.3414634146341458</v>
      </c>
    </row>
    <row r="38" spans="3:14" x14ac:dyDescent="0.25">
      <c r="C38" s="166"/>
      <c r="D38" s="4"/>
      <c r="E38" s="92">
        <v>45918</v>
      </c>
      <c r="F38" s="93">
        <f t="shared" ca="1" si="0"/>
        <v>7</v>
      </c>
      <c r="G38" s="21" t="s">
        <v>44</v>
      </c>
      <c r="H38" s="21">
        <v>17.7</v>
      </c>
      <c r="I38" s="21">
        <v>122.1</v>
      </c>
      <c r="J38" s="21">
        <v>116.4</v>
      </c>
      <c r="K38" s="21">
        <f t="shared" si="3"/>
        <v>5.6999999999999886</v>
      </c>
      <c r="L38" s="21">
        <v>1.8</v>
      </c>
      <c r="M38" s="94">
        <f t="shared" si="1"/>
        <v>9.6610169491525237</v>
      </c>
      <c r="N38" s="94">
        <f t="shared" si="2"/>
        <v>3.050847457627119</v>
      </c>
    </row>
    <row r="39" spans="3:14" x14ac:dyDescent="0.25">
      <c r="C39" s="166"/>
      <c r="D39" s="4"/>
      <c r="E39" s="92">
        <v>45980</v>
      </c>
      <c r="F39" s="93">
        <f t="shared" ca="1" si="0"/>
        <v>5</v>
      </c>
      <c r="G39" s="21" t="s">
        <v>44</v>
      </c>
      <c r="H39" s="21">
        <v>16.899999999999999</v>
      </c>
      <c r="I39" s="21">
        <v>124.8</v>
      </c>
      <c r="J39" s="21">
        <v>120.5</v>
      </c>
      <c r="K39" s="21">
        <f t="shared" si="3"/>
        <v>4.2999999999999972</v>
      </c>
      <c r="L39" s="21">
        <v>1</v>
      </c>
      <c r="M39" s="94">
        <f t="shared" si="1"/>
        <v>7.6331360946745521</v>
      </c>
      <c r="N39" s="94">
        <f t="shared" si="2"/>
        <v>1.775147928994083</v>
      </c>
    </row>
  </sheetData>
  <mergeCells count="5">
    <mergeCell ref="C4:C11"/>
    <mergeCell ref="C12:C19"/>
    <mergeCell ref="C20:C27"/>
    <mergeCell ref="C28:C35"/>
    <mergeCell ref="C36:C3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ED01-1F33-4C5A-BDFF-A3F67BE05FA6}">
  <dimension ref="B4:R6"/>
  <sheetViews>
    <sheetView workbookViewId="0">
      <selection activeCell="B8" sqref="B8"/>
    </sheetView>
  </sheetViews>
  <sheetFormatPr defaultRowHeight="15" x14ac:dyDescent="0.25"/>
  <cols>
    <col min="2" max="2" width="28.140625" customWidth="1"/>
  </cols>
  <sheetData>
    <row r="4" spans="2:18" x14ac:dyDescent="0.25">
      <c r="B4" s="4"/>
      <c r="C4" s="157" t="s">
        <v>16</v>
      </c>
      <c r="D4" s="157"/>
      <c r="E4" s="157"/>
      <c r="F4" s="157"/>
      <c r="G4" s="157" t="s">
        <v>301</v>
      </c>
      <c r="H4" s="157"/>
      <c r="I4" s="157"/>
      <c r="J4" s="157"/>
      <c r="K4" s="157" t="s">
        <v>302</v>
      </c>
      <c r="L4" s="157"/>
      <c r="M4" s="157"/>
      <c r="N4" s="157"/>
      <c r="O4" s="157" t="s">
        <v>303</v>
      </c>
      <c r="P4" s="157"/>
      <c r="Q4" s="157"/>
      <c r="R4" s="157"/>
    </row>
    <row r="5" spans="2:18" x14ac:dyDescent="0.25">
      <c r="B5" s="8" t="s">
        <v>304</v>
      </c>
      <c r="C5" s="6">
        <v>5.2</v>
      </c>
      <c r="D5" s="6">
        <v>7</v>
      </c>
      <c r="E5" s="6">
        <v>3.8</v>
      </c>
      <c r="F5" s="6">
        <v>6.2</v>
      </c>
      <c r="G5" s="6">
        <v>5.8</v>
      </c>
      <c r="H5" s="6">
        <v>5.4</v>
      </c>
      <c r="I5" s="6">
        <v>4.8</v>
      </c>
      <c r="J5" s="6">
        <v>3.8</v>
      </c>
      <c r="K5" s="6">
        <v>11.6</v>
      </c>
      <c r="L5" s="6">
        <v>10</v>
      </c>
      <c r="M5" s="6">
        <v>9</v>
      </c>
      <c r="N5" s="6">
        <v>9.6</v>
      </c>
      <c r="O5" s="6">
        <v>6</v>
      </c>
      <c r="P5" s="6">
        <v>5.8</v>
      </c>
      <c r="Q5" s="6">
        <v>4.8</v>
      </c>
      <c r="R5" s="6">
        <v>4.8</v>
      </c>
    </row>
    <row r="6" spans="2:18" x14ac:dyDescent="0.25">
      <c r="B6" s="8" t="s">
        <v>305</v>
      </c>
      <c r="C6" s="6">
        <v>2.2000000000000002</v>
      </c>
      <c r="D6" s="6">
        <v>2</v>
      </c>
      <c r="E6" s="6">
        <v>1.6</v>
      </c>
      <c r="F6" s="6">
        <v>3.2</v>
      </c>
      <c r="G6" s="6">
        <v>0.8</v>
      </c>
      <c r="H6" s="6">
        <v>1.6</v>
      </c>
      <c r="I6" s="6">
        <v>1.6</v>
      </c>
      <c r="J6" s="6">
        <v>1.6</v>
      </c>
      <c r="K6" s="6">
        <v>5</v>
      </c>
      <c r="L6" s="6">
        <v>5.6</v>
      </c>
      <c r="M6" s="6">
        <v>3.8</v>
      </c>
      <c r="N6" s="6">
        <v>6</v>
      </c>
      <c r="O6" s="6">
        <v>3.2</v>
      </c>
      <c r="P6" s="6">
        <v>2.2000000000000002</v>
      </c>
      <c r="Q6" s="6">
        <v>2.4</v>
      </c>
      <c r="R6" s="6">
        <v>2.6</v>
      </c>
    </row>
  </sheetData>
  <mergeCells count="4">
    <mergeCell ref="G4:J4"/>
    <mergeCell ref="K4:N4"/>
    <mergeCell ref="O4:R4"/>
    <mergeCell ref="C4:F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DD68-DB6C-4C96-B96A-E34F41576709}">
  <dimension ref="B3:E23"/>
  <sheetViews>
    <sheetView workbookViewId="0">
      <selection activeCell="C33" sqref="C33"/>
    </sheetView>
  </sheetViews>
  <sheetFormatPr defaultRowHeight="15" x14ac:dyDescent="0.25"/>
  <cols>
    <col min="3" max="3" width="17.7109375" customWidth="1"/>
    <col min="4" max="4" width="16.42578125" customWidth="1"/>
    <col min="5" max="5" width="16.140625" customWidth="1"/>
  </cols>
  <sheetData>
    <row r="3" spans="2:5" x14ac:dyDescent="0.25">
      <c r="B3" s="5" t="s">
        <v>16</v>
      </c>
      <c r="C3" s="5" t="s">
        <v>306</v>
      </c>
      <c r="D3" s="5" t="s">
        <v>307</v>
      </c>
      <c r="E3" s="5" t="s">
        <v>308</v>
      </c>
    </row>
    <row r="4" spans="2:5" x14ac:dyDescent="0.25">
      <c r="B4" s="123">
        <v>1.933924255</v>
      </c>
      <c r="C4" s="123">
        <v>1.9972764409999999</v>
      </c>
      <c r="D4" s="123">
        <v>2.196531792</v>
      </c>
      <c r="E4" s="123">
        <v>1.8435251800000001</v>
      </c>
    </row>
    <row r="5" spans="2:5" x14ac:dyDescent="0.25">
      <c r="B5" s="123">
        <v>2.38204306</v>
      </c>
      <c r="C5" s="123">
        <v>1.6377649329999999</v>
      </c>
      <c r="D5" s="123">
        <v>2.2591055789999999</v>
      </c>
      <c r="E5" s="123">
        <v>1.7475728159999999</v>
      </c>
    </row>
    <row r="6" spans="2:5" x14ac:dyDescent="0.25">
      <c r="B6" s="123">
        <v>2.3313905080000001</v>
      </c>
      <c r="C6" s="123">
        <v>1.875293015</v>
      </c>
      <c r="D6" s="123">
        <v>1.2999518539999999</v>
      </c>
      <c r="E6" s="123">
        <v>1.783893986</v>
      </c>
    </row>
    <row r="7" spans="2:5" x14ac:dyDescent="0.25">
      <c r="B7" s="123">
        <v>2.1361815750000002</v>
      </c>
      <c r="C7" s="123">
        <v>1.419158642</v>
      </c>
      <c r="D7" s="123">
        <v>1.287073307</v>
      </c>
      <c r="E7" s="123">
        <v>1.987110634</v>
      </c>
    </row>
    <row r="8" spans="2:5" x14ac:dyDescent="0.25">
      <c r="B8" s="123">
        <v>3.0174081240000001</v>
      </c>
      <c r="C8" s="123">
        <v>1.9521912349999999</v>
      </c>
      <c r="D8" s="123">
        <v>2.1491782549999998</v>
      </c>
      <c r="E8" s="123">
        <v>1.7359524900000001</v>
      </c>
    </row>
    <row r="9" spans="2:5" x14ac:dyDescent="0.25">
      <c r="B9" s="123">
        <v>2.1304347830000001</v>
      </c>
      <c r="C9" s="123">
        <v>1.7452006980000001</v>
      </c>
      <c r="D9" s="123">
        <v>1.8029350099999999</v>
      </c>
      <c r="E9" s="123">
        <v>2.1267168810000001</v>
      </c>
    </row>
    <row r="10" spans="2:5" x14ac:dyDescent="0.25">
      <c r="B10" s="123">
        <v>2.258635961</v>
      </c>
      <c r="C10" s="123">
        <v>2.7003857689999999</v>
      </c>
      <c r="D10" s="123">
        <v>1.9566142070000001</v>
      </c>
      <c r="E10" s="123">
        <v>1.929824561</v>
      </c>
    </row>
    <row r="11" spans="2:5" x14ac:dyDescent="0.25">
      <c r="B11" s="123">
        <v>1.872006966</v>
      </c>
      <c r="C11" s="123">
        <v>2.0069808029999998</v>
      </c>
      <c r="D11" s="123">
        <v>2.1960784310000001</v>
      </c>
      <c r="E11" s="123">
        <v>2.424242424</v>
      </c>
    </row>
    <row r="12" spans="2:5" x14ac:dyDescent="0.25">
      <c r="B12" s="123">
        <v>3.634894992</v>
      </c>
      <c r="C12" s="123">
        <v>2.5814138199999999</v>
      </c>
      <c r="D12" s="123">
        <v>1.713330547</v>
      </c>
      <c r="E12" s="123">
        <v>1.7114914400000001</v>
      </c>
    </row>
    <row r="13" spans="2:5" x14ac:dyDescent="0.25">
      <c r="B13" s="123">
        <v>2.1276595739999999</v>
      </c>
      <c r="C13" s="123">
        <v>1.6601135869999999</v>
      </c>
      <c r="D13" s="123">
        <v>1.4825442369999999</v>
      </c>
      <c r="E13" s="123">
        <v>1.646489104</v>
      </c>
    </row>
    <row r="14" spans="2:5" x14ac:dyDescent="0.25">
      <c r="B14" s="123">
        <v>2.075876879</v>
      </c>
      <c r="C14" s="123">
        <v>3.67003367</v>
      </c>
      <c r="D14" s="123">
        <v>2.548387097</v>
      </c>
      <c r="E14" s="123">
        <v>1.5573383670000001</v>
      </c>
    </row>
    <row r="15" spans="2:5" x14ac:dyDescent="0.25">
      <c r="B15" s="123">
        <v>2.6378085900000001</v>
      </c>
      <c r="C15" s="123">
        <v>2.396665509</v>
      </c>
      <c r="D15" s="123">
        <v>2.0522388060000001</v>
      </c>
      <c r="E15" s="123">
        <v>1.5176374079999999</v>
      </c>
    </row>
    <row r="16" spans="2:5" x14ac:dyDescent="0.25">
      <c r="B16" s="123">
        <v>2.0863309349999999</v>
      </c>
      <c r="C16" s="123">
        <v>2.7542372880000001</v>
      </c>
      <c r="D16" s="123">
        <v>1.792991035</v>
      </c>
      <c r="E16" s="123">
        <v>2.2442972769999998</v>
      </c>
    </row>
    <row r="17" spans="2:5" x14ac:dyDescent="0.25">
      <c r="B17" s="123">
        <v>2.771699489</v>
      </c>
      <c r="C17" s="123">
        <v>2.0058351569999999</v>
      </c>
      <c r="D17" s="123">
        <v>2.0665499120000002</v>
      </c>
      <c r="E17" s="123">
        <v>2.1268215829999999</v>
      </c>
    </row>
    <row r="18" spans="2:5" x14ac:dyDescent="0.25">
      <c r="B18" s="123">
        <v>2.3362831860000002</v>
      </c>
      <c r="C18" s="123">
        <v>2.858151023</v>
      </c>
      <c r="D18" s="123">
        <v>2.5401069519999999</v>
      </c>
      <c r="E18" s="123">
        <v>2.638888889</v>
      </c>
    </row>
    <row r="19" spans="2:5" x14ac:dyDescent="0.25">
      <c r="B19" s="123">
        <v>3.1761952519999999</v>
      </c>
      <c r="C19" s="123">
        <v>3.6070853459999999</v>
      </c>
      <c r="D19" s="123">
        <v>2.4458420680000001</v>
      </c>
      <c r="E19" s="123">
        <v>1.849710983</v>
      </c>
    </row>
    <row r="20" spans="2:5" x14ac:dyDescent="0.25">
      <c r="B20" s="123">
        <v>3.4584013050000002</v>
      </c>
      <c r="C20" s="123">
        <v>2.0988971900000002</v>
      </c>
      <c r="D20" s="123">
        <v>2.0523708420000002</v>
      </c>
      <c r="E20" s="123">
        <v>2.4444444440000002</v>
      </c>
    </row>
    <row r="21" spans="2:5" x14ac:dyDescent="0.25">
      <c r="B21" s="123">
        <v>2.1995537139999999</v>
      </c>
      <c r="C21" s="123">
        <v>3.0816119199999998</v>
      </c>
      <c r="D21" s="123">
        <v>1.925212884</v>
      </c>
      <c r="E21" s="123">
        <v>2.3330651649999998</v>
      </c>
    </row>
    <row r="22" spans="2:5" x14ac:dyDescent="0.25">
      <c r="B22" s="123">
        <v>2.3722627740000002</v>
      </c>
      <c r="C22" s="123">
        <v>2.2519582250000001</v>
      </c>
      <c r="D22" s="123">
        <v>1.7053206000000001</v>
      </c>
      <c r="E22" s="123">
        <v>2.0633226609999999</v>
      </c>
    </row>
    <row r="23" spans="2:5" x14ac:dyDescent="0.25">
      <c r="B23" s="123">
        <v>2.3359999999999999</v>
      </c>
      <c r="C23" s="123">
        <v>1.9272614239999999</v>
      </c>
      <c r="D23" s="123">
        <v>2.8895768830000002</v>
      </c>
      <c r="E23" s="123">
        <v>2.2222222220000001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F920-C1C1-42E8-A6EA-1816C6F5BF71}">
  <dimension ref="A1:J16"/>
  <sheetViews>
    <sheetView workbookViewId="0">
      <selection activeCell="M7" sqref="M7"/>
    </sheetView>
  </sheetViews>
  <sheetFormatPr defaultRowHeight="15" x14ac:dyDescent="0.25"/>
  <cols>
    <col min="7" max="7" width="15.42578125" customWidth="1"/>
  </cols>
  <sheetData>
    <row r="1" spans="1:10" x14ac:dyDescent="0.25">
      <c r="G1" s="1" t="s">
        <v>80</v>
      </c>
    </row>
    <row r="2" spans="1:10" x14ac:dyDescent="0.25">
      <c r="B2" s="96" t="s">
        <v>16</v>
      </c>
      <c r="C2" s="96" t="s">
        <v>93</v>
      </c>
      <c r="D2" s="96" t="s">
        <v>309</v>
      </c>
      <c r="E2" s="96" t="s">
        <v>310</v>
      </c>
      <c r="G2" s="97" t="s">
        <v>16</v>
      </c>
      <c r="H2" s="97" t="s">
        <v>93</v>
      </c>
      <c r="I2" s="97" t="s">
        <v>309</v>
      </c>
      <c r="J2" s="97" t="s">
        <v>310</v>
      </c>
    </row>
    <row r="3" spans="1:10" x14ac:dyDescent="0.25">
      <c r="B3" s="4">
        <v>1.0509302950313333</v>
      </c>
      <c r="C3" s="4">
        <v>1.3144528564366667</v>
      </c>
      <c r="D3" s="4">
        <v>0.74607496611333346</v>
      </c>
      <c r="E3" s="4">
        <v>1.5461288592666669</v>
      </c>
      <c r="G3" s="4">
        <f>(B3/$B$16)</f>
        <v>0.97970920004920226</v>
      </c>
      <c r="H3" s="4">
        <f t="shared" ref="H3:J14" si="0">(C3/$B$16)</f>
        <v>1.2253729505852342</v>
      </c>
      <c r="I3" s="4">
        <f t="shared" si="0"/>
        <v>0.69551378591273438</v>
      </c>
      <c r="J3" s="4">
        <f t="shared" si="0"/>
        <v>1.4413483701504386</v>
      </c>
    </row>
    <row r="4" spans="1:10" x14ac:dyDescent="0.25">
      <c r="B4" s="4">
        <v>1.0849391673506665</v>
      </c>
      <c r="C4" s="4">
        <v>1.3738594891033333</v>
      </c>
      <c r="D4" s="4">
        <v>0.8421130218370001</v>
      </c>
      <c r="E4" s="4">
        <v>1.5378217952633335</v>
      </c>
      <c r="G4" s="4">
        <f t="shared" ref="G4:G8" si="1">(B4/$B$16)</f>
        <v>1.0114133056897727</v>
      </c>
      <c r="H4" s="4">
        <f t="shared" si="0"/>
        <v>1.2807536212563957</v>
      </c>
      <c r="I4" s="4">
        <f t="shared" si="0"/>
        <v>0.78504338382437222</v>
      </c>
      <c r="J4" s="4">
        <f t="shared" si="0"/>
        <v>1.4336042723088014</v>
      </c>
    </row>
    <row r="5" spans="1:10" x14ac:dyDescent="0.25">
      <c r="B5" s="4">
        <v>1.0839724394906667</v>
      </c>
      <c r="C5" s="4">
        <v>1.2697126472333335</v>
      </c>
      <c r="D5" s="4">
        <v>0.50583169384466664</v>
      </c>
      <c r="E5" s="4">
        <v>1.4277342901266667</v>
      </c>
      <c r="G5" s="4">
        <f t="shared" si="1"/>
        <v>1.0105120925618769</v>
      </c>
      <c r="H5" s="4">
        <f t="shared" si="0"/>
        <v>1.1836647661548627</v>
      </c>
      <c r="I5" s="4">
        <f t="shared" si="0"/>
        <v>0.47155169708121891</v>
      </c>
      <c r="J5" s="4">
        <f t="shared" si="0"/>
        <v>1.3309773501401521</v>
      </c>
    </row>
    <row r="6" spans="1:10" x14ac:dyDescent="0.25">
      <c r="B6" s="4">
        <v>1.0775079675570001</v>
      </c>
      <c r="C6" s="4">
        <v>1.3247229698700003</v>
      </c>
      <c r="D6" s="4">
        <v>0.55504296459733338</v>
      </c>
      <c r="E6" s="4">
        <v>1.7554725716799999</v>
      </c>
      <c r="G6" s="4">
        <f t="shared" si="1"/>
        <v>1.0044857151162785</v>
      </c>
      <c r="H6" s="4">
        <f t="shared" si="0"/>
        <v>1.23494706283964</v>
      </c>
      <c r="I6" s="4">
        <f t="shared" si="0"/>
        <v>0.51742794113893009</v>
      </c>
      <c r="J6" s="4">
        <f t="shared" si="0"/>
        <v>1.636504949034371</v>
      </c>
    </row>
    <row r="7" spans="1:10" x14ac:dyDescent="0.25">
      <c r="B7" s="4">
        <v>1.0748043081326666</v>
      </c>
      <c r="C7" s="4">
        <v>1.8244303002333333</v>
      </c>
      <c r="D7" s="4">
        <v>0.74452096751933339</v>
      </c>
      <c r="E7" s="4">
        <v>1.3028992528400003</v>
      </c>
      <c r="G7" s="4">
        <f t="shared" si="1"/>
        <v>1.0019652815305853</v>
      </c>
      <c r="H7" s="4">
        <f t="shared" si="0"/>
        <v>1.7007894419237706</v>
      </c>
      <c r="I7" s="4">
        <f t="shared" si="0"/>
        <v>0.69406510113639541</v>
      </c>
      <c r="J7" s="4">
        <f t="shared" si="0"/>
        <v>1.214602329744926</v>
      </c>
    </row>
    <row r="8" spans="1:10" x14ac:dyDescent="0.25">
      <c r="B8" s="4">
        <v>1.064022771548</v>
      </c>
      <c r="C8" s="4">
        <v>1.7418276792433331</v>
      </c>
      <c r="D8" s="4">
        <v>0.54774099067066673</v>
      </c>
      <c r="E8" s="4">
        <v>1.0827839780183333</v>
      </c>
      <c r="G8" s="4">
        <f t="shared" si="1"/>
        <v>0.99191440505228379</v>
      </c>
      <c r="H8" s="4">
        <f t="shared" si="0"/>
        <v>1.6237847651010628</v>
      </c>
      <c r="I8" s="4">
        <f t="shared" si="0"/>
        <v>0.51062081885089916</v>
      </c>
      <c r="J8" s="4">
        <f t="shared" si="0"/>
        <v>1.009404172613376</v>
      </c>
    </row>
    <row r="9" spans="1:10" x14ac:dyDescent="0.25">
      <c r="B9" s="4"/>
      <c r="C9" s="4">
        <v>2.4880867839966667</v>
      </c>
      <c r="D9" s="4"/>
      <c r="E9" s="4">
        <v>1.4684464665800001</v>
      </c>
      <c r="G9" s="4"/>
      <c r="H9" s="4">
        <f t="shared" si="0"/>
        <v>2.3194702106572063</v>
      </c>
      <c r="I9" s="4"/>
      <c r="J9" s="4">
        <f t="shared" si="0"/>
        <v>1.368930479870957</v>
      </c>
    </row>
    <row r="10" spans="1:10" x14ac:dyDescent="0.25">
      <c r="B10" s="4"/>
      <c r="C10" s="4">
        <v>1.5136810003466667</v>
      </c>
      <c r="D10" s="4"/>
      <c r="E10" s="4">
        <v>1.5401706589866668</v>
      </c>
      <c r="G10" s="4"/>
      <c r="H10" s="4">
        <f t="shared" si="0"/>
        <v>1.4110994887011936</v>
      </c>
      <c r="I10" s="4"/>
      <c r="J10" s="4">
        <f t="shared" si="0"/>
        <v>1.4357939545458549</v>
      </c>
    </row>
    <row r="11" spans="1:10" x14ac:dyDescent="0.25">
      <c r="B11" s="4"/>
      <c r="C11" s="4">
        <v>1.3427795172233334</v>
      </c>
      <c r="D11" s="4"/>
      <c r="E11" s="4">
        <v>1.6931175286466669</v>
      </c>
      <c r="G11" s="4"/>
      <c r="H11" s="4">
        <f t="shared" si="0"/>
        <v>1.251779925729616</v>
      </c>
      <c r="I11" s="4"/>
      <c r="J11" s="4">
        <f t="shared" si="0"/>
        <v>1.5783756805014861</v>
      </c>
    </row>
    <row r="12" spans="1:10" x14ac:dyDescent="0.25">
      <c r="B12" s="4"/>
      <c r="C12" s="4"/>
      <c r="D12" s="4"/>
      <c r="E12" s="4">
        <v>2.9310136494400001</v>
      </c>
      <c r="G12" s="4"/>
      <c r="H12" s="4"/>
      <c r="I12" s="4"/>
      <c r="J12" s="4">
        <f t="shared" si="0"/>
        <v>2.7323801125559339</v>
      </c>
    </row>
    <row r="13" spans="1:10" x14ac:dyDescent="0.25">
      <c r="B13" s="4"/>
      <c r="C13" s="4"/>
      <c r="D13" s="4"/>
      <c r="E13" s="4">
        <v>0.95330996227966669</v>
      </c>
      <c r="G13" s="4"/>
      <c r="H13" s="4"/>
      <c r="I13" s="4"/>
      <c r="J13" s="4">
        <f t="shared" si="0"/>
        <v>0.88870455534455917</v>
      </c>
    </row>
    <row r="14" spans="1:10" x14ac:dyDescent="0.25">
      <c r="B14" s="4"/>
      <c r="C14" s="4"/>
      <c r="D14" s="4"/>
      <c r="E14" s="4">
        <v>1.5123427070166668</v>
      </c>
      <c r="G14" s="4"/>
      <c r="H14" s="4"/>
      <c r="I14" s="4"/>
      <c r="J14" s="4">
        <f t="shared" si="0"/>
        <v>1.4098518909357052</v>
      </c>
    </row>
    <row r="16" spans="1:10" x14ac:dyDescent="0.25">
      <c r="A16" s="1" t="s">
        <v>6</v>
      </c>
      <c r="B16">
        <f>AVERAGE(B3:B15)</f>
        <v>1.0726961581850556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E15A9-5BE1-4020-B859-35CE12B0D327}">
  <dimension ref="A3:S119"/>
  <sheetViews>
    <sheetView topLeftCell="A80" workbookViewId="0">
      <selection activeCell="AA89" sqref="AA89"/>
    </sheetView>
  </sheetViews>
  <sheetFormatPr defaultRowHeight="15" x14ac:dyDescent="0.25"/>
  <cols>
    <col min="1" max="1" width="4.28515625" customWidth="1"/>
    <col min="2" max="2" width="15.140625" customWidth="1"/>
    <col min="3" max="3" width="13.42578125" customWidth="1"/>
  </cols>
  <sheetData>
    <row r="3" spans="1:18" x14ac:dyDescent="0.25">
      <c r="A3" t="s">
        <v>116</v>
      </c>
    </row>
    <row r="4" spans="1:18" x14ac:dyDescent="0.25">
      <c r="A4" t="s">
        <v>31</v>
      </c>
    </row>
    <row r="5" spans="1:18" x14ac:dyDescent="0.25">
      <c r="A5" t="s">
        <v>311</v>
      </c>
    </row>
    <row r="6" spans="1:18" x14ac:dyDescent="0.25">
      <c r="A6" t="s">
        <v>312</v>
      </c>
    </row>
    <row r="7" spans="1:18" x14ac:dyDescent="0.25">
      <c r="A7" t="s">
        <v>313</v>
      </c>
    </row>
    <row r="8" spans="1:18" x14ac:dyDescent="0.25">
      <c r="A8" t="s">
        <v>314</v>
      </c>
    </row>
    <row r="9" spans="1:18" x14ac:dyDescent="0.25">
      <c r="A9" t="s">
        <v>125</v>
      </c>
      <c r="D9" t="s">
        <v>126</v>
      </c>
    </row>
    <row r="13" spans="1:18" x14ac:dyDescent="0.25">
      <c r="B13" t="s">
        <v>315</v>
      </c>
    </row>
    <row r="14" spans="1:18" x14ac:dyDescent="0.25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  <c r="L14" s="11">
        <v>11</v>
      </c>
      <c r="M14" s="11">
        <v>12</v>
      </c>
    </row>
    <row r="15" spans="1:18" x14ac:dyDescent="0.25">
      <c r="A15" s="11" t="s">
        <v>38</v>
      </c>
      <c r="B15" s="12">
        <v>0.433</v>
      </c>
      <c r="C15" s="13">
        <v>0.439</v>
      </c>
      <c r="D15" s="13">
        <v>0.76500000000000001</v>
      </c>
      <c r="E15" s="13">
        <v>0.78</v>
      </c>
      <c r="F15" s="13">
        <v>0.31900000000000001</v>
      </c>
      <c r="G15" s="13">
        <v>0.32200000000000001</v>
      </c>
      <c r="H15" s="13">
        <v>0.40600000000000003</v>
      </c>
      <c r="I15" s="13">
        <v>0.41399999999999998</v>
      </c>
      <c r="J15" s="13">
        <v>0.34200000000000003</v>
      </c>
      <c r="K15" s="13">
        <v>0.33500000000000002</v>
      </c>
      <c r="L15" s="13">
        <v>0.10299999999999999</v>
      </c>
      <c r="M15" s="14">
        <v>0.10299999999999999</v>
      </c>
      <c r="P15">
        <f>AVERAGE(J19:K19)</f>
        <v>0.44450000000000001</v>
      </c>
      <c r="Q15">
        <f>P15-0.108</f>
        <v>0.33650000000000002</v>
      </c>
      <c r="R15">
        <f>10</f>
        <v>10</v>
      </c>
    </row>
    <row r="16" spans="1:18" x14ac:dyDescent="0.25">
      <c r="A16" s="11" t="s">
        <v>40</v>
      </c>
      <c r="B16" s="15">
        <v>0.433</v>
      </c>
      <c r="C16" s="16">
        <v>0.44700000000000001</v>
      </c>
      <c r="D16" s="16">
        <v>0.35899999999999999</v>
      </c>
      <c r="E16" s="16">
        <v>0.37</v>
      </c>
      <c r="F16" s="16">
        <v>0.628</v>
      </c>
      <c r="G16" s="16">
        <v>0.63300000000000001</v>
      </c>
      <c r="H16" s="16">
        <v>0.41699999999999998</v>
      </c>
      <c r="I16" s="16">
        <v>0.434</v>
      </c>
      <c r="J16" s="16">
        <v>0.35699999999999998</v>
      </c>
      <c r="K16" s="16">
        <v>0.36899999999999999</v>
      </c>
      <c r="L16" s="16">
        <v>0.104</v>
      </c>
      <c r="M16" s="17">
        <v>0.104</v>
      </c>
      <c r="P16">
        <f t="shared" ref="P16:P18" si="0">AVERAGE(J20:K20)</f>
        <v>0.28449999999999998</v>
      </c>
      <c r="Q16">
        <f t="shared" ref="Q16:Q19" si="1">P16-0.108</f>
        <v>0.17649999999999999</v>
      </c>
      <c r="R16" s="16">
        <v>5</v>
      </c>
    </row>
    <row r="17" spans="1:18" x14ac:dyDescent="0.25">
      <c r="A17" s="11" t="s">
        <v>41</v>
      </c>
      <c r="B17" s="15">
        <v>0.38500000000000001</v>
      </c>
      <c r="C17" s="16">
        <v>0.39700000000000002</v>
      </c>
      <c r="D17" s="16">
        <v>0.34100000000000003</v>
      </c>
      <c r="E17" s="16">
        <v>0.35299999999999998</v>
      </c>
      <c r="F17" s="16">
        <v>0.64100000000000001</v>
      </c>
      <c r="G17" s="16">
        <v>0.65600000000000003</v>
      </c>
      <c r="H17" s="16">
        <v>0.39800000000000002</v>
      </c>
      <c r="I17" s="16">
        <v>0.40100000000000002</v>
      </c>
      <c r="J17" s="16">
        <v>0.317</v>
      </c>
      <c r="K17" s="16">
        <v>0.312</v>
      </c>
      <c r="L17" s="16">
        <v>0.104</v>
      </c>
      <c r="M17" s="17">
        <v>0.105</v>
      </c>
      <c r="P17">
        <f t="shared" si="0"/>
        <v>0.20799999999999999</v>
      </c>
      <c r="Q17">
        <f t="shared" si="1"/>
        <v>9.9999999999999992E-2</v>
      </c>
      <c r="R17" s="16">
        <v>2.5</v>
      </c>
    </row>
    <row r="18" spans="1:18" x14ac:dyDescent="0.25">
      <c r="A18" s="11" t="s">
        <v>42</v>
      </c>
      <c r="B18" s="15">
        <v>0.59</v>
      </c>
      <c r="C18" s="16">
        <v>0.63800000000000001</v>
      </c>
      <c r="D18" s="16">
        <v>0.67</v>
      </c>
      <c r="E18" s="16">
        <v>0.67</v>
      </c>
      <c r="F18" s="16">
        <v>0.39200000000000002</v>
      </c>
      <c r="G18" s="16">
        <v>0.39100000000000001</v>
      </c>
      <c r="H18" s="16">
        <v>0.39600000000000002</v>
      </c>
      <c r="I18" s="16">
        <v>0.40500000000000003</v>
      </c>
      <c r="J18" s="16">
        <v>0.108</v>
      </c>
      <c r="K18" s="16">
        <v>0.108</v>
      </c>
      <c r="L18" s="16">
        <v>0.105</v>
      </c>
      <c r="M18" s="17">
        <v>0.105</v>
      </c>
      <c r="P18">
        <f t="shared" si="0"/>
        <v>0.16250000000000001</v>
      </c>
      <c r="Q18">
        <f t="shared" si="1"/>
        <v>5.4500000000000007E-2</v>
      </c>
      <c r="R18" s="16">
        <v>1.25</v>
      </c>
    </row>
    <row r="19" spans="1:18" x14ac:dyDescent="0.25">
      <c r="A19" s="11" t="s">
        <v>43</v>
      </c>
      <c r="B19" s="15">
        <v>0.48699999999999999</v>
      </c>
      <c r="C19" s="16">
        <v>0.5</v>
      </c>
      <c r="D19" s="16">
        <v>0.39300000000000002</v>
      </c>
      <c r="E19" s="16">
        <v>0.38700000000000001</v>
      </c>
      <c r="F19" s="16">
        <v>0.37</v>
      </c>
      <c r="G19" s="16">
        <v>0.36499999999999999</v>
      </c>
      <c r="H19" s="16">
        <v>0.39</v>
      </c>
      <c r="I19" s="16">
        <v>0.39700000000000002</v>
      </c>
      <c r="J19" s="16">
        <v>0.44900000000000001</v>
      </c>
      <c r="K19" s="16">
        <v>0.44</v>
      </c>
      <c r="L19" s="16">
        <v>0.105</v>
      </c>
      <c r="M19" s="17">
        <v>0.10299999999999999</v>
      </c>
      <c r="P19">
        <v>0.108</v>
      </c>
      <c r="Q19">
        <f t="shared" si="1"/>
        <v>0</v>
      </c>
      <c r="R19" s="16">
        <v>0</v>
      </c>
    </row>
    <row r="20" spans="1:18" x14ac:dyDescent="0.25">
      <c r="A20" s="11" t="s">
        <v>44</v>
      </c>
      <c r="B20" s="15">
        <v>0.46700000000000003</v>
      </c>
      <c r="C20" s="16">
        <v>0.47899999999999998</v>
      </c>
      <c r="D20" s="16">
        <v>0.56599999999999995</v>
      </c>
      <c r="E20" s="16">
        <v>0.58799999999999997</v>
      </c>
      <c r="F20" s="16">
        <v>0.38</v>
      </c>
      <c r="G20" s="16">
        <v>0.4</v>
      </c>
      <c r="H20" s="16">
        <v>0.57099999999999995</v>
      </c>
      <c r="I20" s="16">
        <v>0.57799999999999996</v>
      </c>
      <c r="J20" s="16">
        <v>0.28899999999999998</v>
      </c>
      <c r="K20" s="16">
        <v>0.28000000000000003</v>
      </c>
      <c r="L20" s="16">
        <v>0.104</v>
      </c>
      <c r="M20" s="17">
        <v>0.104</v>
      </c>
    </row>
    <row r="21" spans="1:18" x14ac:dyDescent="0.25">
      <c r="A21" s="11" t="s">
        <v>45</v>
      </c>
      <c r="B21" s="15">
        <v>0.33800000000000002</v>
      </c>
      <c r="C21" s="16">
        <v>0.34499999999999997</v>
      </c>
      <c r="D21" s="16">
        <v>0.372</v>
      </c>
      <c r="E21" s="16">
        <v>0.379</v>
      </c>
      <c r="F21" s="16">
        <v>0.55100000000000005</v>
      </c>
      <c r="G21" s="16">
        <v>0.54700000000000004</v>
      </c>
      <c r="H21" s="16">
        <v>0.49399999999999999</v>
      </c>
      <c r="I21" s="16">
        <v>0.495</v>
      </c>
      <c r="J21" s="16">
        <v>0.21099999999999999</v>
      </c>
      <c r="K21" s="16">
        <v>0.20499999999999999</v>
      </c>
      <c r="L21" s="16">
        <v>0.104</v>
      </c>
      <c r="M21" s="17">
        <v>0.104</v>
      </c>
    </row>
    <row r="22" spans="1:18" x14ac:dyDescent="0.25">
      <c r="A22" s="11" t="s">
        <v>46</v>
      </c>
      <c r="B22" s="18">
        <v>0.50600000000000001</v>
      </c>
      <c r="C22" s="19">
        <v>0.48899999999999999</v>
      </c>
      <c r="D22" s="19">
        <v>0.38400000000000001</v>
      </c>
      <c r="E22" s="19">
        <v>0.39100000000000001</v>
      </c>
      <c r="F22" s="19">
        <v>0.312</v>
      </c>
      <c r="G22" s="19">
        <v>0.31900000000000001</v>
      </c>
      <c r="H22" s="19">
        <v>0.36699999999999999</v>
      </c>
      <c r="I22" s="19">
        <v>0.38</v>
      </c>
      <c r="J22" s="19">
        <v>0.161</v>
      </c>
      <c r="K22" s="19">
        <v>0.16400000000000001</v>
      </c>
      <c r="L22" s="19">
        <v>0.104</v>
      </c>
      <c r="M22" s="20">
        <v>0.104</v>
      </c>
    </row>
    <row r="24" spans="1:18" ht="15" customHeight="1" x14ac:dyDescent="0.25">
      <c r="F24" s="1" t="s">
        <v>316</v>
      </c>
    </row>
    <row r="25" spans="1:18" x14ac:dyDescent="0.25">
      <c r="B25" s="170" t="s">
        <v>317</v>
      </c>
      <c r="C25" s="171" t="s">
        <v>318</v>
      </c>
      <c r="D25" s="101">
        <v>1</v>
      </c>
      <c r="E25">
        <f t="shared" ref="E25:E32" si="2">AVERAGE(B15:C15)</f>
        <v>0.436</v>
      </c>
      <c r="F25">
        <f>(E25-0.108)*30.223-0.2847</f>
        <v>9.628444</v>
      </c>
    </row>
    <row r="26" spans="1:18" x14ac:dyDescent="0.25">
      <c r="B26" s="170"/>
      <c r="C26" s="171"/>
      <c r="D26" s="101">
        <v>2</v>
      </c>
      <c r="E26">
        <f t="shared" si="2"/>
        <v>0.44</v>
      </c>
      <c r="F26">
        <f t="shared" ref="F26:F52" si="3">(E26-0.108)*30.223-0.2847</f>
        <v>9.7493359999999996</v>
      </c>
    </row>
    <row r="27" spans="1:18" x14ac:dyDescent="0.25">
      <c r="B27" s="170"/>
      <c r="C27" s="171"/>
      <c r="D27" s="101">
        <v>3</v>
      </c>
      <c r="E27">
        <f t="shared" si="2"/>
        <v>0.39100000000000001</v>
      </c>
      <c r="F27">
        <f t="shared" si="3"/>
        <v>8.2684090000000001</v>
      </c>
    </row>
    <row r="28" spans="1:18" x14ac:dyDescent="0.25">
      <c r="B28" s="170"/>
      <c r="C28" s="171"/>
      <c r="D28" s="101">
        <v>4</v>
      </c>
      <c r="E28">
        <f t="shared" si="2"/>
        <v>0.61399999999999999</v>
      </c>
      <c r="F28">
        <f t="shared" si="3"/>
        <v>15.008137999999999</v>
      </c>
    </row>
    <row r="29" spans="1:18" x14ac:dyDescent="0.25">
      <c r="B29" s="170"/>
      <c r="C29" s="171"/>
      <c r="D29" s="101">
        <v>5</v>
      </c>
      <c r="E29">
        <f t="shared" si="2"/>
        <v>0.49349999999999999</v>
      </c>
      <c r="F29">
        <f t="shared" si="3"/>
        <v>11.366266499999998</v>
      </c>
    </row>
    <row r="30" spans="1:18" x14ac:dyDescent="0.25">
      <c r="B30" s="170"/>
      <c r="C30" s="171"/>
      <c r="D30" s="101">
        <v>6</v>
      </c>
      <c r="E30">
        <f t="shared" si="2"/>
        <v>0.47299999999999998</v>
      </c>
      <c r="F30">
        <f t="shared" si="3"/>
        <v>10.746694999999999</v>
      </c>
    </row>
    <row r="31" spans="1:18" x14ac:dyDescent="0.25">
      <c r="B31" s="170"/>
      <c r="C31" s="171"/>
      <c r="D31" s="101">
        <v>7</v>
      </c>
      <c r="E31">
        <f t="shared" si="2"/>
        <v>0.34150000000000003</v>
      </c>
      <c r="F31">
        <f t="shared" si="3"/>
        <v>6.772370500000001</v>
      </c>
    </row>
    <row r="32" spans="1:18" ht="15" customHeight="1" x14ac:dyDescent="0.25">
      <c r="B32" s="170"/>
      <c r="C32" s="171"/>
      <c r="D32" s="101">
        <v>8</v>
      </c>
      <c r="E32">
        <f t="shared" si="2"/>
        <v>0.4975</v>
      </c>
      <c r="F32">
        <f t="shared" si="3"/>
        <v>11.4871585</v>
      </c>
    </row>
    <row r="33" spans="2:6" x14ac:dyDescent="0.25">
      <c r="B33" s="170"/>
      <c r="C33" s="171" t="s">
        <v>319</v>
      </c>
      <c r="D33" s="101">
        <v>9</v>
      </c>
      <c r="E33">
        <f t="shared" ref="E33:E40" si="4">AVERAGE(D15:E15)</f>
        <v>0.77249999999999996</v>
      </c>
      <c r="F33">
        <f t="shared" si="3"/>
        <v>19.798483499999996</v>
      </c>
    </row>
    <row r="34" spans="2:6" x14ac:dyDescent="0.25">
      <c r="B34" s="170"/>
      <c r="C34" s="171"/>
      <c r="D34" s="101">
        <v>10</v>
      </c>
      <c r="E34">
        <f t="shared" si="4"/>
        <v>0.36449999999999999</v>
      </c>
      <c r="F34">
        <f t="shared" si="3"/>
        <v>7.4674994999999997</v>
      </c>
    </row>
    <row r="35" spans="2:6" x14ac:dyDescent="0.25">
      <c r="B35" s="170"/>
      <c r="C35" s="171"/>
      <c r="D35" s="101">
        <v>11</v>
      </c>
      <c r="E35">
        <f t="shared" si="4"/>
        <v>0.34699999999999998</v>
      </c>
      <c r="F35">
        <f t="shared" si="3"/>
        <v>6.9385969999999997</v>
      </c>
    </row>
    <row r="36" spans="2:6" x14ac:dyDescent="0.25">
      <c r="B36" s="170"/>
      <c r="C36" s="171"/>
      <c r="D36" s="101">
        <v>12</v>
      </c>
      <c r="E36">
        <f t="shared" si="4"/>
        <v>0.67</v>
      </c>
      <c r="F36">
        <f t="shared" si="3"/>
        <v>16.700626</v>
      </c>
    </row>
    <row r="37" spans="2:6" x14ac:dyDescent="0.25">
      <c r="B37" s="170"/>
      <c r="C37" s="171"/>
      <c r="D37" s="101">
        <v>13</v>
      </c>
      <c r="E37">
        <f t="shared" si="4"/>
        <v>0.39</v>
      </c>
      <c r="F37">
        <f t="shared" si="3"/>
        <v>8.2381859999999989</v>
      </c>
    </row>
    <row r="38" spans="2:6" x14ac:dyDescent="0.25">
      <c r="B38" s="170"/>
      <c r="C38" s="171"/>
      <c r="D38" s="101">
        <v>14</v>
      </c>
      <c r="E38">
        <f t="shared" si="4"/>
        <v>0.57699999999999996</v>
      </c>
      <c r="F38">
        <f t="shared" si="3"/>
        <v>13.889886999999998</v>
      </c>
    </row>
    <row r="39" spans="2:6" x14ac:dyDescent="0.25">
      <c r="B39" s="170"/>
      <c r="C39" s="171"/>
      <c r="D39" s="101">
        <v>15</v>
      </c>
      <c r="E39">
        <f t="shared" si="4"/>
        <v>0.3755</v>
      </c>
      <c r="F39">
        <f t="shared" si="3"/>
        <v>7.7999525000000007</v>
      </c>
    </row>
    <row r="40" spans="2:6" ht="15" customHeight="1" x14ac:dyDescent="0.25">
      <c r="B40" s="170"/>
      <c r="C40" s="171"/>
      <c r="D40" s="101">
        <v>16</v>
      </c>
      <c r="E40">
        <f t="shared" si="4"/>
        <v>0.38750000000000001</v>
      </c>
      <c r="F40">
        <f t="shared" si="3"/>
        <v>8.1626285000000003</v>
      </c>
    </row>
    <row r="41" spans="2:6" x14ac:dyDescent="0.25">
      <c r="B41" s="170"/>
      <c r="C41" s="171" t="s">
        <v>320</v>
      </c>
      <c r="D41" s="101">
        <v>17</v>
      </c>
      <c r="E41">
        <f t="shared" ref="E41:E48" si="5">AVERAGE(F15:G15)</f>
        <v>0.32050000000000001</v>
      </c>
      <c r="F41">
        <f t="shared" si="3"/>
        <v>6.1376875000000002</v>
      </c>
    </row>
    <row r="42" spans="2:6" x14ac:dyDescent="0.25">
      <c r="B42" s="170"/>
      <c r="C42" s="171"/>
      <c r="D42" s="101">
        <v>18</v>
      </c>
      <c r="E42">
        <f t="shared" si="5"/>
        <v>0.63050000000000006</v>
      </c>
      <c r="F42">
        <f t="shared" si="3"/>
        <v>15.5068175</v>
      </c>
    </row>
    <row r="43" spans="2:6" x14ac:dyDescent="0.25">
      <c r="B43" s="170"/>
      <c r="C43" s="171"/>
      <c r="D43" s="101">
        <v>19</v>
      </c>
      <c r="E43">
        <f t="shared" si="5"/>
        <v>0.64850000000000008</v>
      </c>
      <c r="F43">
        <f t="shared" si="3"/>
        <v>16.050831500000001</v>
      </c>
    </row>
    <row r="44" spans="2:6" x14ac:dyDescent="0.25">
      <c r="B44" s="170"/>
      <c r="C44" s="171"/>
      <c r="D44" s="101">
        <v>20</v>
      </c>
      <c r="E44">
        <f t="shared" si="5"/>
        <v>0.39150000000000001</v>
      </c>
      <c r="F44">
        <f t="shared" si="3"/>
        <v>8.2835204999999998</v>
      </c>
    </row>
    <row r="45" spans="2:6" x14ac:dyDescent="0.25">
      <c r="B45" s="170"/>
      <c r="C45" s="171"/>
      <c r="D45" s="101">
        <v>21</v>
      </c>
      <c r="E45">
        <f t="shared" si="5"/>
        <v>0.36749999999999999</v>
      </c>
      <c r="F45">
        <f t="shared" si="3"/>
        <v>7.5581684999999998</v>
      </c>
    </row>
    <row r="46" spans="2:6" x14ac:dyDescent="0.25">
      <c r="B46" s="170"/>
      <c r="C46" s="171"/>
      <c r="D46" s="101">
        <v>22</v>
      </c>
      <c r="E46">
        <f t="shared" si="5"/>
        <v>0.39</v>
      </c>
      <c r="F46">
        <f t="shared" si="3"/>
        <v>8.2381859999999989</v>
      </c>
    </row>
    <row r="47" spans="2:6" x14ac:dyDescent="0.25">
      <c r="B47" s="170"/>
      <c r="C47" s="171"/>
      <c r="D47" s="101">
        <v>23</v>
      </c>
      <c r="E47">
        <f t="shared" si="5"/>
        <v>0.54900000000000004</v>
      </c>
      <c r="F47">
        <f t="shared" si="3"/>
        <v>13.043643000000001</v>
      </c>
    </row>
    <row r="48" spans="2:6" x14ac:dyDescent="0.25">
      <c r="B48" s="170"/>
      <c r="C48" s="171"/>
      <c r="D48" s="101">
        <v>24</v>
      </c>
      <c r="E48">
        <f t="shared" si="5"/>
        <v>0.3155</v>
      </c>
      <c r="F48">
        <f t="shared" si="3"/>
        <v>5.9865725000000003</v>
      </c>
    </row>
    <row r="49" spans="2:6" x14ac:dyDescent="0.25">
      <c r="B49" s="170"/>
      <c r="C49" s="171"/>
      <c r="D49" s="101">
        <v>25</v>
      </c>
      <c r="E49">
        <f>AVERAGE(H15:I15)</f>
        <v>0.41000000000000003</v>
      </c>
      <c r="F49">
        <f t="shared" si="3"/>
        <v>8.8426460000000002</v>
      </c>
    </row>
    <row r="50" spans="2:6" ht="15" customHeight="1" x14ac:dyDescent="0.25">
      <c r="B50" s="170"/>
      <c r="C50" s="171"/>
      <c r="D50" s="101">
        <v>26</v>
      </c>
      <c r="E50">
        <f>AVERAGE(H16:I16)</f>
        <v>0.42549999999999999</v>
      </c>
      <c r="F50">
        <f t="shared" si="3"/>
        <v>9.3111024999999987</v>
      </c>
    </row>
    <row r="51" spans="2:6" x14ac:dyDescent="0.25">
      <c r="B51" s="170"/>
      <c r="C51" s="171" t="s">
        <v>321</v>
      </c>
      <c r="D51" s="101">
        <v>27</v>
      </c>
      <c r="E51">
        <f>AVERAGE(H17:I17)</f>
        <v>0.39950000000000002</v>
      </c>
      <c r="F51">
        <f t="shared" si="3"/>
        <v>8.5253045000000007</v>
      </c>
    </row>
    <row r="52" spans="2:6" x14ac:dyDescent="0.25">
      <c r="B52" s="170"/>
      <c r="C52" s="171"/>
      <c r="D52" s="101">
        <v>28</v>
      </c>
      <c r="E52">
        <f>AVERAGE(H18:I18)</f>
        <v>0.40050000000000002</v>
      </c>
      <c r="F52">
        <f t="shared" si="3"/>
        <v>8.5555275000000002</v>
      </c>
    </row>
    <row r="53" spans="2:6" x14ac:dyDescent="0.25">
      <c r="B53" s="170"/>
      <c r="C53" s="171"/>
    </row>
    <row r="54" spans="2:6" x14ac:dyDescent="0.25">
      <c r="B54" s="170"/>
      <c r="C54" s="171"/>
      <c r="D54" s="101">
        <v>30</v>
      </c>
      <c r="E54">
        <f>AVERAGE(H19:I19)</f>
        <v>0.39350000000000002</v>
      </c>
      <c r="F54">
        <f t="shared" ref="F54:F60" si="6">(E54-0.108)*30.223-0.2847</f>
        <v>8.3439665000000005</v>
      </c>
    </row>
    <row r="55" spans="2:6" x14ac:dyDescent="0.25">
      <c r="B55" s="170"/>
      <c r="C55" s="171"/>
      <c r="D55" s="101">
        <v>31</v>
      </c>
      <c r="E55">
        <f>AVERAGE(H20:I20)</f>
        <v>0.57450000000000001</v>
      </c>
      <c r="F55">
        <f t="shared" si="6"/>
        <v>13.814329499999999</v>
      </c>
    </row>
    <row r="56" spans="2:6" x14ac:dyDescent="0.25">
      <c r="B56" s="170"/>
      <c r="C56" s="171"/>
      <c r="D56" s="101">
        <v>32</v>
      </c>
      <c r="E56">
        <f>AVERAGE(H21:I21)</f>
        <v>0.4945</v>
      </c>
      <c r="F56">
        <f t="shared" si="6"/>
        <v>11.396489499999999</v>
      </c>
    </row>
    <row r="57" spans="2:6" x14ac:dyDescent="0.25">
      <c r="B57" s="170"/>
      <c r="C57" s="171"/>
      <c r="D57" s="101">
        <v>33</v>
      </c>
      <c r="E57">
        <f>AVERAGE(H22:I22)</f>
        <v>0.3735</v>
      </c>
      <c r="F57">
        <f t="shared" si="6"/>
        <v>7.7395065000000001</v>
      </c>
    </row>
    <row r="58" spans="2:6" x14ac:dyDescent="0.25">
      <c r="B58" s="170"/>
      <c r="C58" s="171"/>
      <c r="D58" s="101">
        <v>34</v>
      </c>
      <c r="E58">
        <f>AVERAGE(J15:K15)</f>
        <v>0.33850000000000002</v>
      </c>
      <c r="F58">
        <f t="shared" si="6"/>
        <v>6.6817015000000008</v>
      </c>
    </row>
    <row r="59" spans="2:6" x14ac:dyDescent="0.25">
      <c r="B59" s="170"/>
      <c r="C59" s="171"/>
      <c r="D59" s="101">
        <v>35</v>
      </c>
      <c r="E59">
        <f>AVERAGE(J16:K16)</f>
        <v>0.36299999999999999</v>
      </c>
      <c r="F59">
        <f t="shared" si="6"/>
        <v>7.4221649999999997</v>
      </c>
    </row>
    <row r="60" spans="2:6" x14ac:dyDescent="0.25">
      <c r="B60" s="170"/>
      <c r="C60" s="171"/>
      <c r="D60" s="101">
        <v>36</v>
      </c>
      <c r="E60">
        <f>AVERAGE(J17:K17)</f>
        <v>0.3145</v>
      </c>
      <c r="F60">
        <f t="shared" si="6"/>
        <v>5.9563495</v>
      </c>
    </row>
    <row r="63" spans="2:6" x14ac:dyDescent="0.25">
      <c r="B63" t="s">
        <v>116</v>
      </c>
    </row>
    <row r="64" spans="2:6" x14ac:dyDescent="0.25">
      <c r="B64" t="s">
        <v>31</v>
      </c>
    </row>
    <row r="65" spans="2:19" x14ac:dyDescent="0.25">
      <c r="B65" t="s">
        <v>322</v>
      </c>
    </row>
    <row r="66" spans="2:19" x14ac:dyDescent="0.25">
      <c r="B66" t="s">
        <v>312</v>
      </c>
    </row>
    <row r="67" spans="2:19" x14ac:dyDescent="0.25">
      <c r="B67" t="s">
        <v>323</v>
      </c>
    </row>
    <row r="68" spans="2:19" x14ac:dyDescent="0.25">
      <c r="B68" t="s">
        <v>324</v>
      </c>
    </row>
    <row r="69" spans="2:19" x14ac:dyDescent="0.25">
      <c r="B69" t="s">
        <v>125</v>
      </c>
      <c r="E69" t="s">
        <v>126</v>
      </c>
    </row>
    <row r="73" spans="2:19" x14ac:dyDescent="0.25">
      <c r="C73" t="s">
        <v>315</v>
      </c>
    </row>
    <row r="74" spans="2:19" x14ac:dyDescent="0.25">
      <c r="C74" s="11">
        <v>1</v>
      </c>
      <c r="D74" s="11">
        <v>2</v>
      </c>
      <c r="E74" s="11">
        <v>3</v>
      </c>
      <c r="F74" s="11">
        <v>4</v>
      </c>
      <c r="G74" s="11">
        <v>5</v>
      </c>
      <c r="H74" s="11">
        <v>6</v>
      </c>
      <c r="I74" s="11">
        <v>7</v>
      </c>
      <c r="J74" s="11">
        <v>8</v>
      </c>
      <c r="K74" s="11">
        <v>9</v>
      </c>
      <c r="L74" s="11">
        <v>10</v>
      </c>
      <c r="M74" s="11">
        <v>11</v>
      </c>
      <c r="N74" s="11">
        <v>12</v>
      </c>
    </row>
    <row r="75" spans="2:19" x14ac:dyDescent="0.25">
      <c r="B75" s="11" t="s">
        <v>38</v>
      </c>
      <c r="C75" s="12">
        <v>0.32800000000000001</v>
      </c>
      <c r="D75" s="13">
        <v>0.32600000000000001</v>
      </c>
      <c r="E75" s="13">
        <v>0.41199999999999998</v>
      </c>
      <c r="F75" s="13">
        <v>0.42699999999999999</v>
      </c>
      <c r="G75" s="13">
        <v>0.317</v>
      </c>
      <c r="H75" s="13">
        <v>0.36599999999999999</v>
      </c>
      <c r="I75" s="13">
        <v>0.88200000000000001</v>
      </c>
      <c r="J75" s="13"/>
      <c r="K75" s="13">
        <v>0.28599999999999998</v>
      </c>
      <c r="L75" s="13">
        <v>0.27700000000000002</v>
      </c>
      <c r="M75" s="13"/>
      <c r="N75" s="14"/>
      <c r="P75">
        <v>10</v>
      </c>
      <c r="Q75">
        <f>AVERAGE(C75:D75)</f>
        <v>0.32700000000000001</v>
      </c>
      <c r="R75">
        <f>Q75-$P$20</f>
        <v>0.32700000000000001</v>
      </c>
      <c r="S75">
        <v>10</v>
      </c>
    </row>
    <row r="76" spans="2:19" x14ac:dyDescent="0.25">
      <c r="B76" s="11" t="s">
        <v>40</v>
      </c>
      <c r="C76" s="15">
        <v>0.223</v>
      </c>
      <c r="D76" s="16">
        <v>0.215</v>
      </c>
      <c r="E76" s="16">
        <v>0.92200000000000004</v>
      </c>
      <c r="F76" s="16"/>
      <c r="G76" s="16">
        <v>0.311</v>
      </c>
      <c r="H76" s="16">
        <v>0.30199999999999999</v>
      </c>
      <c r="I76" s="16">
        <v>0.378</v>
      </c>
      <c r="J76" s="16"/>
      <c r="K76" s="16">
        <v>0.495</v>
      </c>
      <c r="L76" s="16"/>
      <c r="M76" s="16"/>
      <c r="N76" s="17"/>
      <c r="P76">
        <f>P75/2</f>
        <v>5</v>
      </c>
      <c r="Q76">
        <f t="shared" ref="Q76:Q80" si="7">AVERAGE(C76:D76)</f>
        <v>0.219</v>
      </c>
      <c r="R76">
        <f t="shared" ref="R76:R80" si="8">Q76-$P$20</f>
        <v>0.219</v>
      </c>
      <c r="S76">
        <f>S75/2</f>
        <v>5</v>
      </c>
    </row>
    <row r="77" spans="2:19" x14ac:dyDescent="0.25">
      <c r="B77" s="11" t="s">
        <v>41</v>
      </c>
      <c r="C77" s="15">
        <v>0.16400000000000001</v>
      </c>
      <c r="D77" s="16">
        <v>0.16300000000000001</v>
      </c>
      <c r="E77" s="16">
        <v>0.32700000000000001</v>
      </c>
      <c r="F77" s="16">
        <v>0.32700000000000001</v>
      </c>
      <c r="G77" s="16">
        <v>0.31900000000000001</v>
      </c>
      <c r="H77" s="16">
        <v>0.32900000000000001</v>
      </c>
      <c r="I77" s="16">
        <v>0.37</v>
      </c>
      <c r="J77" s="16">
        <v>0.38200000000000001</v>
      </c>
      <c r="K77" s="16">
        <v>0.33100000000000002</v>
      </c>
      <c r="L77" s="16">
        <v>0.32600000000000001</v>
      </c>
      <c r="M77" s="16"/>
      <c r="N77" s="17"/>
      <c r="P77">
        <f t="shared" ref="P77:P79" si="9">P76/2</f>
        <v>2.5</v>
      </c>
      <c r="Q77">
        <f t="shared" si="7"/>
        <v>0.16350000000000001</v>
      </c>
      <c r="R77">
        <f t="shared" si="8"/>
        <v>0.16350000000000001</v>
      </c>
      <c r="S77">
        <f t="shared" ref="S77:S79" si="10">S76/2</f>
        <v>2.5</v>
      </c>
    </row>
    <row r="78" spans="2:19" x14ac:dyDescent="0.25">
      <c r="B78" s="11" t="s">
        <v>42</v>
      </c>
      <c r="C78" s="15">
        <v>0.13400000000000001</v>
      </c>
      <c r="D78" s="16">
        <v>0.13500000000000001</v>
      </c>
      <c r="E78" s="16">
        <v>0.39600000000000002</v>
      </c>
      <c r="F78" s="16">
        <v>0.40600000000000003</v>
      </c>
      <c r="G78" s="16"/>
      <c r="H78" s="16"/>
      <c r="I78" s="16">
        <v>0.64900000000000002</v>
      </c>
      <c r="J78" s="16">
        <v>0.65400000000000003</v>
      </c>
      <c r="K78" s="16">
        <v>0.32900000000000001</v>
      </c>
      <c r="L78" s="16">
        <v>0.33400000000000002</v>
      </c>
      <c r="M78" s="16"/>
      <c r="N78" s="17"/>
      <c r="P78">
        <f t="shared" si="9"/>
        <v>1.25</v>
      </c>
      <c r="Q78">
        <f t="shared" si="7"/>
        <v>0.13450000000000001</v>
      </c>
      <c r="R78">
        <f t="shared" si="8"/>
        <v>0.13450000000000001</v>
      </c>
      <c r="S78">
        <f t="shared" si="10"/>
        <v>1.25</v>
      </c>
    </row>
    <row r="79" spans="2:19" x14ac:dyDescent="0.25">
      <c r="B79" s="11" t="s">
        <v>43</v>
      </c>
      <c r="C79" s="15">
        <v>0.11700000000000001</v>
      </c>
      <c r="D79" s="16">
        <v>0.121</v>
      </c>
      <c r="E79" s="16">
        <v>0.56200000000000006</v>
      </c>
      <c r="F79" s="16">
        <v>0.56399999999999995</v>
      </c>
      <c r="G79" s="16">
        <v>0.39</v>
      </c>
      <c r="H79" s="16">
        <v>0.39</v>
      </c>
      <c r="I79" s="16">
        <v>0.45800000000000002</v>
      </c>
      <c r="J79" s="16">
        <v>0.46100000000000002</v>
      </c>
      <c r="K79" s="16">
        <v>0.42299999999999999</v>
      </c>
      <c r="L79" s="16">
        <v>0.43099999999999999</v>
      </c>
      <c r="M79" s="16"/>
      <c r="N79" s="17"/>
      <c r="P79">
        <f t="shared" si="9"/>
        <v>0.625</v>
      </c>
      <c r="Q79">
        <f t="shared" si="7"/>
        <v>0.11899999999999999</v>
      </c>
      <c r="R79">
        <f t="shared" si="8"/>
        <v>0.11899999999999999</v>
      </c>
      <c r="S79">
        <f t="shared" si="10"/>
        <v>0.625</v>
      </c>
    </row>
    <row r="80" spans="2:19" x14ac:dyDescent="0.25">
      <c r="B80" s="11" t="s">
        <v>44</v>
      </c>
      <c r="C80" s="15">
        <v>0.10199999999999999</v>
      </c>
      <c r="D80" s="16">
        <v>0.10299999999999999</v>
      </c>
      <c r="E80" s="16">
        <v>0.496</v>
      </c>
      <c r="F80" s="16">
        <v>0.505</v>
      </c>
      <c r="G80" s="16">
        <v>0.41799999999999998</v>
      </c>
      <c r="H80" s="16">
        <v>0.41599999999999998</v>
      </c>
      <c r="I80" s="16">
        <v>0.48199999999999998</v>
      </c>
      <c r="J80" s="16">
        <v>0.38900000000000001</v>
      </c>
      <c r="K80" s="16">
        <v>0.41699999999999998</v>
      </c>
      <c r="L80" s="16">
        <v>0.41799999999999998</v>
      </c>
      <c r="M80" s="16"/>
      <c r="N80" s="17"/>
      <c r="P80">
        <v>0</v>
      </c>
      <c r="Q80">
        <f t="shared" si="7"/>
        <v>0.10249999999999999</v>
      </c>
      <c r="R80">
        <f t="shared" si="8"/>
        <v>0.10249999999999999</v>
      </c>
      <c r="S80">
        <v>0</v>
      </c>
    </row>
    <row r="81" spans="2:14" x14ac:dyDescent="0.25">
      <c r="B81" s="11" t="s">
        <v>45</v>
      </c>
      <c r="C81" s="15">
        <v>0.36299999999999999</v>
      </c>
      <c r="D81" s="16">
        <v>0.40400000000000003</v>
      </c>
      <c r="E81" s="16">
        <v>0.25600000000000001</v>
      </c>
      <c r="F81" s="16"/>
      <c r="G81" s="16">
        <v>0.375</v>
      </c>
      <c r="H81" s="16">
        <v>0.34899999999999998</v>
      </c>
      <c r="I81" s="16">
        <v>0.379</v>
      </c>
      <c r="J81" s="16">
        <v>0.41199999999999998</v>
      </c>
      <c r="K81" s="16">
        <v>0.36</v>
      </c>
      <c r="L81" s="16">
        <v>0.39</v>
      </c>
      <c r="M81" s="16"/>
      <c r="N81" s="17"/>
    </row>
    <row r="82" spans="2:14" x14ac:dyDescent="0.25">
      <c r="B82" s="11" t="s">
        <v>46</v>
      </c>
      <c r="C82" s="18">
        <v>0.64500000000000002</v>
      </c>
      <c r="D82" s="19">
        <v>0.64900000000000002</v>
      </c>
      <c r="E82" s="19">
        <v>0.26400000000000001</v>
      </c>
      <c r="F82" s="19">
        <v>0.29099999999999998</v>
      </c>
      <c r="G82" s="19">
        <v>0.67600000000000005</v>
      </c>
      <c r="H82" s="19"/>
      <c r="I82" s="19">
        <v>0.34699999999999998</v>
      </c>
      <c r="J82" s="19">
        <v>0.32700000000000001</v>
      </c>
      <c r="K82" s="19">
        <v>0.498</v>
      </c>
      <c r="L82" s="19">
        <v>0.497</v>
      </c>
      <c r="M82" s="19"/>
      <c r="N82" s="20"/>
    </row>
    <row r="83" spans="2:14" x14ac:dyDescent="0.25">
      <c r="H83" t="s">
        <v>325</v>
      </c>
      <c r="I83" t="s">
        <v>326</v>
      </c>
    </row>
    <row r="84" spans="2:14" x14ac:dyDescent="0.25">
      <c r="C84" s="172" t="s">
        <v>327</v>
      </c>
      <c r="D84" s="167" t="s">
        <v>318</v>
      </c>
      <c r="E84">
        <v>1</v>
      </c>
      <c r="F84">
        <f>AVERAGE(C81:D81)</f>
        <v>0.38350000000000001</v>
      </c>
      <c r="G84">
        <f>F84-0.1025</f>
        <v>0.28100000000000003</v>
      </c>
      <c r="H84">
        <f>G84*44.806-0.135</f>
        <v>12.455486000000001</v>
      </c>
      <c r="I84" s="103">
        <v>2.1276595744680899E-2</v>
      </c>
      <c r="M84" t="s">
        <v>328</v>
      </c>
    </row>
    <row r="85" spans="2:14" x14ac:dyDescent="0.25">
      <c r="C85" s="172"/>
      <c r="D85" s="168"/>
      <c r="E85">
        <v>2</v>
      </c>
      <c r="F85">
        <f>AVERAGE(C82:D82)</f>
        <v>0.64700000000000002</v>
      </c>
      <c r="G85">
        <f t="shared" ref="G85:G98" si="11">F85-0.1025</f>
        <v>0.54449999999999998</v>
      </c>
      <c r="H85">
        <f t="shared" ref="H85:H98" si="12">G85*44.806-0.135</f>
        <v>24.261866999999995</v>
      </c>
      <c r="I85" s="103">
        <v>0.77480314960629915</v>
      </c>
      <c r="M85" t="s">
        <v>329</v>
      </c>
    </row>
    <row r="86" spans="2:14" x14ac:dyDescent="0.25">
      <c r="C86" s="172"/>
      <c r="D86" s="168"/>
      <c r="E86">
        <v>3</v>
      </c>
      <c r="F86">
        <f t="shared" ref="F86:F93" si="13">AVERAGE(E75:F75)</f>
        <v>0.41949999999999998</v>
      </c>
      <c r="G86">
        <f t="shared" si="11"/>
        <v>0.317</v>
      </c>
      <c r="H86">
        <f t="shared" si="12"/>
        <v>14.068501999999999</v>
      </c>
      <c r="I86" s="103">
        <v>0.3374340949033392</v>
      </c>
      <c r="M86" t="s">
        <v>330</v>
      </c>
    </row>
    <row r="87" spans="2:14" x14ac:dyDescent="0.25">
      <c r="C87" s="172"/>
      <c r="D87" s="168"/>
      <c r="E87">
        <v>4</v>
      </c>
      <c r="F87">
        <f t="shared" si="13"/>
        <v>0.92200000000000004</v>
      </c>
      <c r="G87">
        <f t="shared" si="11"/>
        <v>0.81950000000000001</v>
      </c>
      <c r="H87">
        <f t="shared" si="12"/>
        <v>36.583517000000001</v>
      </c>
      <c r="I87" s="103">
        <v>2.0618556701030927E-2</v>
      </c>
      <c r="M87" t="s">
        <v>331</v>
      </c>
    </row>
    <row r="88" spans="2:14" x14ac:dyDescent="0.25">
      <c r="C88" s="172"/>
      <c r="D88" s="168"/>
      <c r="E88">
        <v>5</v>
      </c>
      <c r="F88">
        <f t="shared" si="13"/>
        <v>0.32700000000000001</v>
      </c>
      <c r="G88">
        <f t="shared" si="11"/>
        <v>0.22450000000000003</v>
      </c>
      <c r="H88">
        <f t="shared" si="12"/>
        <v>9.9239470000000019</v>
      </c>
      <c r="I88" s="103">
        <v>0.5847457627118644</v>
      </c>
      <c r="M88" t="s">
        <v>332</v>
      </c>
    </row>
    <row r="89" spans="2:14" x14ac:dyDescent="0.25">
      <c r="C89" s="172"/>
      <c r="D89" s="168"/>
      <c r="E89">
        <v>6</v>
      </c>
      <c r="F89">
        <f t="shared" si="13"/>
        <v>0.40100000000000002</v>
      </c>
      <c r="G89">
        <f t="shared" si="11"/>
        <v>0.29850000000000004</v>
      </c>
      <c r="H89">
        <f t="shared" si="12"/>
        <v>13.239591000000001</v>
      </c>
      <c r="I89" s="103">
        <v>0.26304801670146138</v>
      </c>
      <c r="M89" t="s">
        <v>333</v>
      </c>
    </row>
    <row r="90" spans="2:14" x14ac:dyDescent="0.25">
      <c r="C90" s="172"/>
      <c r="D90" s="168"/>
      <c r="E90">
        <v>7</v>
      </c>
      <c r="F90">
        <f t="shared" si="13"/>
        <v>0.56299999999999994</v>
      </c>
      <c r="G90">
        <f t="shared" si="11"/>
        <v>0.46049999999999996</v>
      </c>
      <c r="H90">
        <f t="shared" si="12"/>
        <v>20.498162999999995</v>
      </c>
      <c r="I90" s="103">
        <v>1.3544018058690746E-2</v>
      </c>
      <c r="M90" t="s">
        <v>334</v>
      </c>
    </row>
    <row r="91" spans="2:14" x14ac:dyDescent="0.25">
      <c r="C91" s="172"/>
      <c r="D91" s="169"/>
      <c r="E91">
        <v>8</v>
      </c>
      <c r="F91">
        <f t="shared" si="13"/>
        <v>0.50049999999999994</v>
      </c>
      <c r="G91">
        <f t="shared" si="11"/>
        <v>0.39799999999999996</v>
      </c>
      <c r="H91">
        <f t="shared" si="12"/>
        <v>17.697787999999996</v>
      </c>
      <c r="I91" s="103">
        <v>7.8947368421052641E-2</v>
      </c>
      <c r="M91" t="s">
        <v>335</v>
      </c>
    </row>
    <row r="92" spans="2:14" x14ac:dyDescent="0.25">
      <c r="C92" s="172"/>
      <c r="D92" s="167" t="s">
        <v>319</v>
      </c>
      <c r="E92">
        <v>9</v>
      </c>
      <c r="F92">
        <f t="shared" si="13"/>
        <v>0.25600000000000001</v>
      </c>
      <c r="G92">
        <f t="shared" si="11"/>
        <v>0.15350000000000003</v>
      </c>
      <c r="H92">
        <f t="shared" si="12"/>
        <v>6.7427210000000013</v>
      </c>
      <c r="I92" s="103">
        <v>1.276595744680851E-2</v>
      </c>
      <c r="M92" t="s">
        <v>336</v>
      </c>
    </row>
    <row r="93" spans="2:14" x14ac:dyDescent="0.25">
      <c r="C93" s="172"/>
      <c r="D93" s="168"/>
      <c r="E93">
        <v>10</v>
      </c>
      <c r="F93">
        <f t="shared" si="13"/>
        <v>0.27749999999999997</v>
      </c>
      <c r="G93">
        <f t="shared" si="11"/>
        <v>0.17499999999999999</v>
      </c>
      <c r="H93">
        <f t="shared" si="12"/>
        <v>7.7060499999999994</v>
      </c>
      <c r="I93" s="103">
        <v>0.29299363057324845</v>
      </c>
      <c r="M93" t="s">
        <v>337</v>
      </c>
    </row>
    <row r="94" spans="2:14" x14ac:dyDescent="0.25">
      <c r="C94" s="172"/>
      <c r="D94" s="168"/>
      <c r="E94">
        <v>11</v>
      </c>
      <c r="F94">
        <f>AVERAGE(G75:H75)</f>
        <v>0.34150000000000003</v>
      </c>
      <c r="G94">
        <f t="shared" si="11"/>
        <v>0.23900000000000005</v>
      </c>
      <c r="H94">
        <f t="shared" si="12"/>
        <v>10.573634000000002</v>
      </c>
      <c r="I94" s="103">
        <v>1.522198731501057</v>
      </c>
      <c r="M94" t="s">
        <v>338</v>
      </c>
    </row>
    <row r="95" spans="2:14" x14ac:dyDescent="0.25">
      <c r="C95" s="172"/>
      <c r="D95" s="168"/>
      <c r="E95">
        <v>12</v>
      </c>
      <c r="F95">
        <f>AVERAGE(G76:H76)</f>
        <v>0.30649999999999999</v>
      </c>
      <c r="G95">
        <f t="shared" si="11"/>
        <v>0.20400000000000001</v>
      </c>
      <c r="H95">
        <f t="shared" si="12"/>
        <v>9.0054239999999997</v>
      </c>
      <c r="I95" s="103">
        <v>3.7344398340248962E-2</v>
      </c>
      <c r="M95" t="s">
        <v>339</v>
      </c>
    </row>
    <row r="96" spans="2:14" x14ac:dyDescent="0.25">
      <c r="C96" s="172"/>
      <c r="D96" s="168"/>
      <c r="E96">
        <v>13</v>
      </c>
      <c r="F96">
        <f>AVERAGE(G77:H77)</f>
        <v>0.32400000000000001</v>
      </c>
      <c r="G96">
        <f t="shared" si="11"/>
        <v>0.22150000000000003</v>
      </c>
      <c r="H96">
        <f t="shared" si="12"/>
        <v>9.7895290000000017</v>
      </c>
      <c r="I96" s="103">
        <v>3.0534351145038167E-2</v>
      </c>
      <c r="M96" t="s">
        <v>340</v>
      </c>
    </row>
    <row r="97" spans="3:13" x14ac:dyDescent="0.25">
      <c r="C97" s="172"/>
      <c r="D97" s="168"/>
      <c r="M97" t="s">
        <v>341</v>
      </c>
    </row>
    <row r="98" spans="3:13" x14ac:dyDescent="0.25">
      <c r="C98" s="172"/>
      <c r="D98" s="168"/>
      <c r="E98">
        <v>15</v>
      </c>
      <c r="F98">
        <f>AVERAGE(G79:H79)</f>
        <v>0.39</v>
      </c>
      <c r="G98">
        <f t="shared" si="11"/>
        <v>0.28750000000000003</v>
      </c>
      <c r="H98">
        <f t="shared" si="12"/>
        <v>12.746725000000001</v>
      </c>
      <c r="I98" s="103">
        <v>3.233082706766917</v>
      </c>
      <c r="M98" t="s">
        <v>342</v>
      </c>
    </row>
    <row r="99" spans="3:13" x14ac:dyDescent="0.25">
      <c r="C99" s="172"/>
      <c r="D99" s="169"/>
      <c r="M99" t="s">
        <v>343</v>
      </c>
    </row>
    <row r="100" spans="3:13" x14ac:dyDescent="0.25">
      <c r="C100" s="172"/>
      <c r="D100" s="167" t="s">
        <v>320</v>
      </c>
      <c r="E100">
        <v>17</v>
      </c>
      <c r="F100">
        <f>AVERAGE(G80:H80)</f>
        <v>0.41699999999999998</v>
      </c>
      <c r="G100">
        <f t="shared" ref="G100:G115" si="14">F100-0.1025</f>
        <v>0.3145</v>
      </c>
      <c r="H100">
        <f t="shared" ref="H100:H115" si="15">G100*44.806-0.135</f>
        <v>13.956486999999999</v>
      </c>
      <c r="I100" s="103">
        <v>5.7553956834532372</v>
      </c>
      <c r="M100" t="s">
        <v>344</v>
      </c>
    </row>
    <row r="101" spans="3:13" x14ac:dyDescent="0.25">
      <c r="C101" s="172"/>
      <c r="D101" s="168"/>
      <c r="E101">
        <v>18</v>
      </c>
      <c r="F101">
        <f>AVERAGE(G81:H81)</f>
        <v>0.36199999999999999</v>
      </c>
      <c r="G101">
        <f t="shared" si="14"/>
        <v>0.25950000000000001</v>
      </c>
      <c r="H101">
        <f t="shared" si="15"/>
        <v>11.492157000000001</v>
      </c>
      <c r="I101" s="103">
        <v>0.20930232558139533</v>
      </c>
      <c r="M101" t="s">
        <v>345</v>
      </c>
    </row>
    <row r="102" spans="3:13" x14ac:dyDescent="0.25">
      <c r="C102" s="172"/>
      <c r="D102" s="168"/>
      <c r="E102">
        <v>19</v>
      </c>
      <c r="F102">
        <f>AVERAGE(G82:H82)</f>
        <v>0.67600000000000005</v>
      </c>
      <c r="G102">
        <f t="shared" si="14"/>
        <v>0.57350000000000001</v>
      </c>
      <c r="H102">
        <f t="shared" si="15"/>
        <v>25.561240999999999</v>
      </c>
      <c r="I102" s="103">
        <v>3.4523809523809517</v>
      </c>
      <c r="M102" t="s">
        <v>346</v>
      </c>
    </row>
    <row r="103" spans="3:13" x14ac:dyDescent="0.25">
      <c r="C103" s="172"/>
      <c r="D103" s="168"/>
      <c r="E103">
        <v>20</v>
      </c>
      <c r="F103">
        <f t="shared" ref="F103:F110" si="16">AVERAGE(I75:J75)</f>
        <v>0.88200000000000001</v>
      </c>
      <c r="G103">
        <f t="shared" si="14"/>
        <v>0.77949999999999997</v>
      </c>
      <c r="H103">
        <f t="shared" si="15"/>
        <v>34.791277000000001</v>
      </c>
      <c r="I103" s="103">
        <v>0.2767527675276753</v>
      </c>
      <c r="M103" t="s">
        <v>347</v>
      </c>
    </row>
    <row r="104" spans="3:13" x14ac:dyDescent="0.25">
      <c r="C104" s="172"/>
      <c r="D104" s="168"/>
      <c r="E104">
        <v>21</v>
      </c>
      <c r="F104">
        <f t="shared" si="16"/>
        <v>0.378</v>
      </c>
      <c r="G104">
        <f t="shared" si="14"/>
        <v>0.27550000000000002</v>
      </c>
      <c r="H104">
        <f t="shared" si="15"/>
        <v>12.209053000000001</v>
      </c>
      <c r="I104" s="103">
        <v>0.27334851936218685</v>
      </c>
      <c r="M104" t="s">
        <v>348</v>
      </c>
    </row>
    <row r="105" spans="3:13" x14ac:dyDescent="0.25">
      <c r="C105" s="172"/>
      <c r="D105" s="168"/>
      <c r="E105">
        <v>22</v>
      </c>
      <c r="F105">
        <f t="shared" si="16"/>
        <v>0.376</v>
      </c>
      <c r="G105">
        <f t="shared" si="14"/>
        <v>0.27350000000000002</v>
      </c>
      <c r="H105">
        <f t="shared" si="15"/>
        <v>12.119441</v>
      </c>
      <c r="I105" s="103">
        <v>2.179176755447942</v>
      </c>
      <c r="M105" t="s">
        <v>349</v>
      </c>
    </row>
    <row r="106" spans="3:13" x14ac:dyDescent="0.25">
      <c r="C106" s="172"/>
      <c r="D106" s="168"/>
      <c r="E106">
        <v>23</v>
      </c>
      <c r="F106">
        <f t="shared" si="16"/>
        <v>0.65149999999999997</v>
      </c>
      <c r="G106">
        <f t="shared" si="14"/>
        <v>0.54899999999999993</v>
      </c>
      <c r="H106">
        <f t="shared" si="15"/>
        <v>24.463493999999994</v>
      </c>
      <c r="I106" s="103">
        <v>6.1197339246119729</v>
      </c>
      <c r="M106" t="s">
        <v>350</v>
      </c>
    </row>
    <row r="107" spans="3:13" x14ac:dyDescent="0.25">
      <c r="C107" s="172"/>
      <c r="D107" s="168"/>
      <c r="E107">
        <v>24</v>
      </c>
      <c r="F107">
        <f t="shared" si="16"/>
        <v>0.45950000000000002</v>
      </c>
      <c r="G107">
        <f t="shared" si="14"/>
        <v>0.35700000000000004</v>
      </c>
      <c r="H107">
        <f t="shared" si="15"/>
        <v>15.860742000000002</v>
      </c>
      <c r="I107" s="103">
        <v>5.6292906178489694</v>
      </c>
      <c r="M107" t="s">
        <v>351</v>
      </c>
    </row>
    <row r="108" spans="3:13" x14ac:dyDescent="0.25">
      <c r="C108" s="172"/>
      <c r="D108" s="168"/>
      <c r="E108">
        <v>25</v>
      </c>
      <c r="F108">
        <f t="shared" si="16"/>
        <v>0.4355</v>
      </c>
      <c r="G108">
        <f t="shared" si="14"/>
        <v>0.33300000000000002</v>
      </c>
      <c r="H108">
        <f t="shared" si="15"/>
        <v>14.785398000000001</v>
      </c>
      <c r="I108" s="103">
        <v>2.1418092909535451</v>
      </c>
      <c r="M108" t="s">
        <v>352</v>
      </c>
    </row>
    <row r="109" spans="3:13" x14ac:dyDescent="0.25">
      <c r="C109" s="172"/>
      <c r="D109" s="169"/>
      <c r="E109">
        <v>26</v>
      </c>
      <c r="F109">
        <f t="shared" si="16"/>
        <v>0.39549999999999996</v>
      </c>
      <c r="G109">
        <f t="shared" si="14"/>
        <v>0.29299999999999998</v>
      </c>
      <c r="H109">
        <f t="shared" si="15"/>
        <v>12.993157999999999</v>
      </c>
      <c r="I109" s="103">
        <v>4.1860465116279073</v>
      </c>
      <c r="M109" t="s">
        <v>353</v>
      </c>
    </row>
    <row r="110" spans="3:13" x14ac:dyDescent="0.25">
      <c r="C110" s="172"/>
      <c r="D110" s="167" t="s">
        <v>321</v>
      </c>
      <c r="E110">
        <v>27</v>
      </c>
      <c r="F110">
        <f t="shared" si="16"/>
        <v>0.33699999999999997</v>
      </c>
      <c r="G110">
        <f t="shared" si="14"/>
        <v>0.23449999999999999</v>
      </c>
      <c r="H110">
        <f t="shared" si="15"/>
        <v>10.372006999999998</v>
      </c>
      <c r="I110" s="103">
        <v>0.41201716738197436</v>
      </c>
      <c r="M110" t="s">
        <v>354</v>
      </c>
    </row>
    <row r="111" spans="3:13" x14ac:dyDescent="0.25">
      <c r="C111" s="172"/>
      <c r="D111" s="168"/>
      <c r="E111">
        <v>28</v>
      </c>
      <c r="F111">
        <f>AVERAGE(K75:L75)</f>
        <v>0.28149999999999997</v>
      </c>
      <c r="G111">
        <f t="shared" si="14"/>
        <v>0.17899999999999999</v>
      </c>
      <c r="H111">
        <f t="shared" si="15"/>
        <v>7.885273999999999</v>
      </c>
      <c r="I111" s="103">
        <v>0.28019323671497581</v>
      </c>
      <c r="M111" t="s">
        <v>355</v>
      </c>
    </row>
    <row r="112" spans="3:13" x14ac:dyDescent="0.25">
      <c r="C112" s="172"/>
      <c r="D112" s="168"/>
      <c r="E112">
        <v>29</v>
      </c>
      <c r="F112">
        <f>AVERAGE(K76:L76)</f>
        <v>0.495</v>
      </c>
      <c r="G112">
        <f t="shared" si="14"/>
        <v>0.39250000000000002</v>
      </c>
      <c r="H112">
        <f t="shared" si="15"/>
        <v>17.451355</v>
      </c>
      <c r="I112" s="103">
        <v>0.656429942418426</v>
      </c>
      <c r="M112" t="s">
        <v>356</v>
      </c>
    </row>
    <row r="113" spans="3:13" x14ac:dyDescent="0.25">
      <c r="C113" s="172"/>
      <c r="D113" s="168"/>
      <c r="E113">
        <v>30</v>
      </c>
      <c r="F113">
        <f>AVERAGE(K77:L77)</f>
        <v>0.32850000000000001</v>
      </c>
      <c r="G113">
        <f t="shared" si="14"/>
        <v>0.22600000000000003</v>
      </c>
      <c r="H113">
        <f t="shared" si="15"/>
        <v>9.9911560000000019</v>
      </c>
      <c r="I113" s="103">
        <v>0.58348623853211012</v>
      </c>
      <c r="M113" t="s">
        <v>357</v>
      </c>
    </row>
    <row r="114" spans="3:13" x14ac:dyDescent="0.25">
      <c r="C114" s="172"/>
      <c r="D114" s="168"/>
      <c r="E114">
        <v>31</v>
      </c>
      <c r="F114">
        <f>AVERAGE(K78:L78)</f>
        <v>0.33150000000000002</v>
      </c>
      <c r="G114">
        <f t="shared" si="14"/>
        <v>0.22900000000000004</v>
      </c>
      <c r="H114">
        <f t="shared" si="15"/>
        <v>10.125574000000002</v>
      </c>
      <c r="I114" s="103">
        <v>0.14173228346456693</v>
      </c>
      <c r="M114" t="s">
        <v>358</v>
      </c>
    </row>
    <row r="115" spans="3:13" x14ac:dyDescent="0.25">
      <c r="C115" s="172"/>
      <c r="D115" s="168"/>
      <c r="E115">
        <v>32</v>
      </c>
      <c r="F115">
        <f>AVERAGE(K79:L79)</f>
        <v>0.42699999999999999</v>
      </c>
      <c r="G115">
        <f t="shared" si="14"/>
        <v>0.32450000000000001</v>
      </c>
      <c r="H115">
        <f t="shared" si="15"/>
        <v>14.404546999999999</v>
      </c>
      <c r="I115" s="103">
        <v>2.9339853300733494</v>
      </c>
      <c r="M115" t="s">
        <v>359</v>
      </c>
    </row>
    <row r="116" spans="3:13" x14ac:dyDescent="0.25">
      <c r="C116" s="172"/>
      <c r="D116" s="168"/>
      <c r="M116" t="s">
        <v>360</v>
      </c>
    </row>
    <row r="117" spans="3:13" x14ac:dyDescent="0.25">
      <c r="C117" s="172"/>
      <c r="D117" s="168"/>
      <c r="E117">
        <v>34</v>
      </c>
      <c r="F117">
        <f>AVERAGE(K80:L80)</f>
        <v>0.41749999999999998</v>
      </c>
      <c r="G117">
        <f>F117-0.1025</f>
        <v>0.315</v>
      </c>
      <c r="H117">
        <f>G117*44.806-0.135</f>
        <v>13.97889</v>
      </c>
      <c r="I117" s="103">
        <v>0.58285714285714296</v>
      </c>
      <c r="M117" t="s">
        <v>361</v>
      </c>
    </row>
    <row r="118" spans="3:13" x14ac:dyDescent="0.25">
      <c r="C118" s="172"/>
      <c r="D118" s="168"/>
      <c r="E118">
        <v>35</v>
      </c>
      <c r="F118">
        <f>AVERAGE(K81:L81)</f>
        <v>0.375</v>
      </c>
      <c r="G118">
        <f>F118-0.1025</f>
        <v>0.27250000000000002</v>
      </c>
      <c r="H118">
        <f>G118*44.806-0.135</f>
        <v>12.074635000000001</v>
      </c>
      <c r="I118" s="103">
        <v>0.10552763819095479</v>
      </c>
      <c r="M118" t="s">
        <v>362</v>
      </c>
    </row>
    <row r="119" spans="3:13" x14ac:dyDescent="0.25">
      <c r="C119" s="172"/>
      <c r="D119" s="169"/>
      <c r="E119">
        <v>36</v>
      </c>
      <c r="F119">
        <f>AVERAGE(K82:L82)</f>
        <v>0.4975</v>
      </c>
      <c r="G119">
        <f>F119-0.1025</f>
        <v>0.39500000000000002</v>
      </c>
      <c r="H119">
        <f>G119*44.806-0.135</f>
        <v>17.563369999999999</v>
      </c>
      <c r="I119" s="103">
        <v>1.0354609929078014</v>
      </c>
      <c r="M119" t="s">
        <v>363</v>
      </c>
    </row>
  </sheetData>
  <mergeCells count="10">
    <mergeCell ref="D84:D91"/>
    <mergeCell ref="D92:D99"/>
    <mergeCell ref="D100:D109"/>
    <mergeCell ref="D110:D119"/>
    <mergeCell ref="B25:B60"/>
    <mergeCell ref="C25:C32"/>
    <mergeCell ref="C33:C40"/>
    <mergeCell ref="C41:C50"/>
    <mergeCell ref="C51:C60"/>
    <mergeCell ref="C84:C119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B08F-5EBD-4424-B7E9-ABF2F649E5AA}">
  <dimension ref="A3:T111"/>
  <sheetViews>
    <sheetView topLeftCell="A81" workbookViewId="0">
      <selection activeCell="K114" sqref="K114"/>
    </sheetView>
  </sheetViews>
  <sheetFormatPr defaultRowHeight="15" x14ac:dyDescent="0.25"/>
  <cols>
    <col min="1" max="1" width="4.28515625" customWidth="1"/>
    <col min="3" max="3" width="15.42578125" customWidth="1"/>
    <col min="4" max="4" width="9.7109375" customWidth="1"/>
    <col min="8" max="8" width="11.5703125" customWidth="1"/>
    <col min="9" max="9" width="9.140625" style="3"/>
    <col min="10" max="10" width="17.28515625" customWidth="1"/>
  </cols>
  <sheetData>
    <row r="3" spans="1:18" x14ac:dyDescent="0.25">
      <c r="A3" t="s">
        <v>116</v>
      </c>
    </row>
    <row r="4" spans="1:18" x14ac:dyDescent="0.25">
      <c r="A4" t="s">
        <v>31</v>
      </c>
    </row>
    <row r="5" spans="1:18" x14ac:dyDescent="0.25">
      <c r="A5" t="s">
        <v>364</v>
      </c>
    </row>
    <row r="6" spans="1:18" x14ac:dyDescent="0.25">
      <c r="A6" t="s">
        <v>312</v>
      </c>
    </row>
    <row r="7" spans="1:18" x14ac:dyDescent="0.25">
      <c r="A7" t="s">
        <v>313</v>
      </c>
    </row>
    <row r="8" spans="1:18" x14ac:dyDescent="0.25">
      <c r="A8" t="s">
        <v>365</v>
      </c>
    </row>
    <row r="9" spans="1:18" x14ac:dyDescent="0.25">
      <c r="A9" t="s">
        <v>125</v>
      </c>
      <c r="D9" t="s">
        <v>126</v>
      </c>
    </row>
    <row r="13" spans="1:18" x14ac:dyDescent="0.25">
      <c r="B13" t="s">
        <v>315</v>
      </c>
    </row>
    <row r="14" spans="1:18" x14ac:dyDescent="0.25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  <c r="L14" s="11">
        <v>11</v>
      </c>
      <c r="M14" s="11">
        <v>12</v>
      </c>
    </row>
    <row r="15" spans="1:18" x14ac:dyDescent="0.25">
      <c r="A15" s="11" t="s">
        <v>38</v>
      </c>
      <c r="B15" s="12">
        <v>0.17100000000000001</v>
      </c>
      <c r="C15" s="13">
        <v>0.17499999999999999</v>
      </c>
      <c r="D15" s="13">
        <v>0.13500000000000001</v>
      </c>
      <c r="E15" s="13">
        <v>0.13300000000000001</v>
      </c>
      <c r="F15" s="13"/>
      <c r="G15" s="13">
        <v>0.13200000000000001</v>
      </c>
      <c r="H15" s="13">
        <v>0.11700000000000001</v>
      </c>
      <c r="I15" s="104">
        <v>0.11899999999999999</v>
      </c>
      <c r="J15" s="13">
        <v>0.125</v>
      </c>
      <c r="K15" s="13">
        <v>0.127</v>
      </c>
      <c r="L15" s="13">
        <v>4.3999999999999997E-2</v>
      </c>
      <c r="M15" s="14">
        <v>4.3999999999999997E-2</v>
      </c>
      <c r="O15">
        <f>10</f>
        <v>10</v>
      </c>
      <c r="P15">
        <f>AVERAGE(J19:K19)</f>
        <v>0.53600000000000003</v>
      </c>
      <c r="Q15">
        <f>P15-0.1155</f>
        <v>0.42050000000000004</v>
      </c>
      <c r="R15">
        <v>10</v>
      </c>
    </row>
    <row r="16" spans="1:18" x14ac:dyDescent="0.25">
      <c r="A16" s="11" t="s">
        <v>40</v>
      </c>
      <c r="B16" s="15">
        <v>0.19900000000000001</v>
      </c>
      <c r="C16" s="16">
        <v>0.21199999999999999</v>
      </c>
      <c r="D16" s="16">
        <v>0.14099999999999999</v>
      </c>
      <c r="E16" s="16">
        <v>0.14499999999999999</v>
      </c>
      <c r="F16" s="16"/>
      <c r="G16" s="16">
        <v>0.13400000000000001</v>
      </c>
      <c r="H16" s="16">
        <v>0.11600000000000001</v>
      </c>
      <c r="I16" s="3">
        <v>0.13600000000000001</v>
      </c>
      <c r="J16" s="16">
        <v>0.122</v>
      </c>
      <c r="K16" s="16">
        <v>0.123</v>
      </c>
      <c r="L16" s="16">
        <v>4.3999999999999997E-2</v>
      </c>
      <c r="M16" s="17">
        <v>4.3999999999999997E-2</v>
      </c>
      <c r="O16">
        <f>O15/2</f>
        <v>5</v>
      </c>
      <c r="P16">
        <f t="shared" ref="P16:P18" si="0">AVERAGE(J20:K20)</f>
        <v>0.33250000000000002</v>
      </c>
      <c r="Q16">
        <f t="shared" ref="Q16:Q19" si="1">P16-0.1155</f>
        <v>0.21700000000000003</v>
      </c>
      <c r="R16">
        <v>5</v>
      </c>
    </row>
    <row r="17" spans="1:18" x14ac:dyDescent="0.25">
      <c r="A17" s="11" t="s">
        <v>41</v>
      </c>
      <c r="B17" s="15">
        <v>0.19700000000000001</v>
      </c>
      <c r="C17" s="16">
        <v>0.20599999999999999</v>
      </c>
      <c r="D17" s="16">
        <v>0.19500000000000001</v>
      </c>
      <c r="E17" s="16">
        <v>0.20100000000000001</v>
      </c>
      <c r="F17" s="16"/>
      <c r="G17" s="16">
        <v>0.13900000000000001</v>
      </c>
      <c r="H17" s="16">
        <v>0.12</v>
      </c>
      <c r="I17" s="3">
        <v>0.123</v>
      </c>
      <c r="J17" s="16">
        <v>0.11799999999999999</v>
      </c>
      <c r="K17" s="16">
        <v>0.11899999999999999</v>
      </c>
      <c r="L17" s="16">
        <v>4.4999999999999998E-2</v>
      </c>
      <c r="M17" s="17">
        <v>4.4999999999999998E-2</v>
      </c>
      <c r="O17">
        <f t="shared" ref="O17:O18" si="2">O16/2</f>
        <v>2.5</v>
      </c>
      <c r="P17">
        <f t="shared" si="0"/>
        <v>0.22650000000000001</v>
      </c>
      <c r="Q17">
        <f t="shared" si="1"/>
        <v>0.111</v>
      </c>
      <c r="R17">
        <v>2.5</v>
      </c>
    </row>
    <row r="18" spans="1:18" x14ac:dyDescent="0.25">
      <c r="A18" s="11" t="s">
        <v>42</v>
      </c>
      <c r="B18" s="15">
        <v>0.17299999999999999</v>
      </c>
      <c r="C18" s="16">
        <v>0.18</v>
      </c>
      <c r="D18" s="16">
        <v>0.157</v>
      </c>
      <c r="E18" s="16">
        <v>0.16</v>
      </c>
      <c r="F18" s="16"/>
      <c r="G18" s="16">
        <v>0.13400000000000001</v>
      </c>
      <c r="H18" s="16">
        <v>0.11700000000000001</v>
      </c>
      <c r="I18" s="3">
        <v>0.11799999999999999</v>
      </c>
      <c r="J18" s="16">
        <v>0.115</v>
      </c>
      <c r="K18" s="16">
        <v>0.11600000000000001</v>
      </c>
      <c r="L18" s="16">
        <v>4.4999999999999998E-2</v>
      </c>
      <c r="M18" s="17">
        <v>4.4999999999999998E-2</v>
      </c>
      <c r="O18">
        <f t="shared" si="2"/>
        <v>1.25</v>
      </c>
      <c r="P18">
        <f t="shared" si="0"/>
        <v>0.16400000000000001</v>
      </c>
      <c r="Q18">
        <f t="shared" si="1"/>
        <v>4.8500000000000001E-2</v>
      </c>
      <c r="R18">
        <v>1.25</v>
      </c>
    </row>
    <row r="19" spans="1:18" x14ac:dyDescent="0.25">
      <c r="A19" s="11" t="s">
        <v>43</v>
      </c>
      <c r="B19" s="15">
        <v>0.153</v>
      </c>
      <c r="C19" s="16">
        <v>0.157</v>
      </c>
      <c r="D19" s="16">
        <v>0.16700000000000001</v>
      </c>
      <c r="E19" s="16">
        <v>0.17699999999999999</v>
      </c>
      <c r="F19" s="16"/>
      <c r="G19" s="16">
        <v>0.13200000000000001</v>
      </c>
      <c r="H19" s="16">
        <v>0.123</v>
      </c>
      <c r="I19" s="3">
        <v>0.126</v>
      </c>
      <c r="J19" s="16">
        <v>0.54200000000000004</v>
      </c>
      <c r="K19" s="16">
        <v>0.53</v>
      </c>
      <c r="L19" s="16">
        <v>4.5999999999999999E-2</v>
      </c>
      <c r="M19" s="17">
        <v>4.4999999999999998E-2</v>
      </c>
      <c r="O19">
        <v>0</v>
      </c>
      <c r="P19">
        <f>AVERAGE(J18:K18)</f>
        <v>0.11550000000000001</v>
      </c>
      <c r="Q19">
        <f t="shared" si="1"/>
        <v>0</v>
      </c>
      <c r="R19">
        <v>0</v>
      </c>
    </row>
    <row r="20" spans="1:18" x14ac:dyDescent="0.25">
      <c r="A20" s="11" t="s">
        <v>44</v>
      </c>
      <c r="B20" s="15">
        <v>0.25700000000000001</v>
      </c>
      <c r="C20" s="16">
        <v>0.26700000000000002</v>
      </c>
      <c r="D20" s="16">
        <v>0.17899999999999999</v>
      </c>
      <c r="E20" s="16">
        <v>0.187</v>
      </c>
      <c r="F20" s="16"/>
      <c r="G20" s="16">
        <v>0.13100000000000001</v>
      </c>
      <c r="H20" s="16">
        <v>0.124</v>
      </c>
      <c r="I20" s="3">
        <v>0.124</v>
      </c>
      <c r="J20" s="16">
        <v>0.33200000000000002</v>
      </c>
      <c r="K20" s="16">
        <v>0.33300000000000002</v>
      </c>
      <c r="L20" s="16">
        <v>4.5999999999999999E-2</v>
      </c>
      <c r="M20" s="17">
        <v>4.4999999999999998E-2</v>
      </c>
    </row>
    <row r="21" spans="1:18" x14ac:dyDescent="0.25">
      <c r="A21" s="11" t="s">
        <v>45</v>
      </c>
      <c r="B21" s="15">
        <v>0.13600000000000001</v>
      </c>
      <c r="C21" s="16">
        <v>0.14399999999999999</v>
      </c>
      <c r="D21" s="16">
        <v>0.14199999999999999</v>
      </c>
      <c r="E21" s="16">
        <v>0.14899999999999999</v>
      </c>
      <c r="F21" s="16"/>
      <c r="G21" s="16">
        <v>0.13600000000000001</v>
      </c>
      <c r="H21" s="16">
        <v>0.11600000000000001</v>
      </c>
      <c r="I21" s="3">
        <v>0.121</v>
      </c>
      <c r="J21" s="16">
        <v>0.222</v>
      </c>
      <c r="K21" s="16">
        <v>0.23100000000000001</v>
      </c>
      <c r="L21" s="16">
        <v>4.5999999999999999E-2</v>
      </c>
      <c r="M21" s="17">
        <v>4.4999999999999998E-2</v>
      </c>
    </row>
    <row r="22" spans="1:18" x14ac:dyDescent="0.25">
      <c r="A22" s="11" t="s">
        <v>46</v>
      </c>
      <c r="B22" s="18">
        <v>0.17399999999999999</v>
      </c>
      <c r="C22" s="19">
        <v>0.189</v>
      </c>
      <c r="D22" s="19">
        <v>0.16700000000000001</v>
      </c>
      <c r="E22" s="19">
        <v>0.184</v>
      </c>
      <c r="F22" s="19"/>
      <c r="G22" s="19">
        <v>0.13200000000000001</v>
      </c>
      <c r="H22" s="19">
        <v>0.121</v>
      </c>
      <c r="I22" s="105">
        <v>0.126</v>
      </c>
      <c r="J22" s="19">
        <v>0.16600000000000001</v>
      </c>
      <c r="K22" s="19">
        <v>0.16200000000000001</v>
      </c>
      <c r="L22" s="19">
        <v>4.3999999999999997E-2</v>
      </c>
      <c r="M22" s="20">
        <v>4.3999999999999997E-2</v>
      </c>
    </row>
    <row r="23" spans="1:18" x14ac:dyDescent="0.25">
      <c r="G23" s="1" t="s">
        <v>366</v>
      </c>
      <c r="H23" s="1" t="s">
        <v>367</v>
      </c>
      <c r="I23" s="11" t="s">
        <v>255</v>
      </c>
      <c r="J23" s="1" t="s">
        <v>368</v>
      </c>
    </row>
    <row r="24" spans="1:18" ht="15" customHeight="1" x14ac:dyDescent="0.25">
      <c r="C24" s="172" t="s">
        <v>317</v>
      </c>
      <c r="D24" s="173" t="s">
        <v>318</v>
      </c>
      <c r="E24" s="101">
        <v>1</v>
      </c>
      <c r="F24">
        <f t="shared" ref="F24:F31" si="3">AVERAGE(B15:C15)</f>
        <v>0.17299999999999999</v>
      </c>
      <c r="G24">
        <f>((F24-0.1155)*23.66-0.0219)*100</f>
        <v>133.85499999999993</v>
      </c>
      <c r="H24">
        <v>94.249201277955265</v>
      </c>
      <c r="I24" s="106">
        <f>G24/H24</f>
        <v>1.4202242372881351</v>
      </c>
      <c r="J24" s="106">
        <v>0.34666666666666668</v>
      </c>
      <c r="K24" s="39">
        <f>(G24*J24)/100</f>
        <v>0.46403066666666648</v>
      </c>
    </row>
    <row r="25" spans="1:18" x14ac:dyDescent="0.25">
      <c r="C25" s="172"/>
      <c r="D25" s="173"/>
      <c r="E25" s="101">
        <v>2</v>
      </c>
      <c r="F25">
        <f t="shared" si="3"/>
        <v>0.20550000000000002</v>
      </c>
      <c r="G25">
        <f t="shared" ref="G25:G51" si="4">((F25-0.1155)*23.66-0.0219)*100</f>
        <v>210.75000000000003</v>
      </c>
      <c r="H25">
        <v>105.43130990415337</v>
      </c>
      <c r="I25" s="106">
        <f t="shared" ref="I25:I59" si="5">G25/H25</f>
        <v>1.9989318181818183</v>
      </c>
      <c r="J25" s="106">
        <v>0.2793791574279379</v>
      </c>
      <c r="K25" s="39">
        <f t="shared" ref="K25:K59" si="6">(G25*J25)/100</f>
        <v>0.58879157427937923</v>
      </c>
    </row>
    <row r="26" spans="1:18" x14ac:dyDescent="0.25">
      <c r="C26" s="172"/>
      <c r="D26" s="173"/>
      <c r="E26" s="101">
        <v>3</v>
      </c>
      <c r="F26">
        <f t="shared" si="3"/>
        <v>0.20150000000000001</v>
      </c>
      <c r="G26">
        <f t="shared" si="4"/>
        <v>201.28600000000003</v>
      </c>
      <c r="H26">
        <v>194.88817891373802</v>
      </c>
      <c r="I26" s="106">
        <f t="shared" si="5"/>
        <v>1.0328281639344263</v>
      </c>
      <c r="J26" s="106">
        <v>2.6966292134831461E-2</v>
      </c>
      <c r="K26" s="39">
        <f t="shared" si="6"/>
        <v>5.4279370786516859E-2</v>
      </c>
    </row>
    <row r="27" spans="1:18" x14ac:dyDescent="0.25">
      <c r="C27" s="172"/>
      <c r="D27" s="173"/>
      <c r="E27" s="101">
        <v>4</v>
      </c>
      <c r="F27">
        <f t="shared" si="3"/>
        <v>0.17649999999999999</v>
      </c>
      <c r="G27">
        <f t="shared" si="4"/>
        <v>142.13599999999994</v>
      </c>
      <c r="H27">
        <v>140.5750798722045</v>
      </c>
      <c r="I27" s="106">
        <f t="shared" si="5"/>
        <v>1.0111038181818175</v>
      </c>
      <c r="J27" s="106">
        <v>8.78661087866109E-2</v>
      </c>
      <c r="K27" s="39">
        <f t="shared" si="6"/>
        <v>0.12488937238493721</v>
      </c>
    </row>
    <row r="28" spans="1:18" x14ac:dyDescent="0.25">
      <c r="C28" s="172"/>
      <c r="D28" s="173"/>
      <c r="E28" s="101">
        <v>5</v>
      </c>
      <c r="F28">
        <f t="shared" si="3"/>
        <v>0.155</v>
      </c>
      <c r="G28">
        <f t="shared" si="4"/>
        <v>91.266999999999982</v>
      </c>
      <c r="H28">
        <v>94.249201277955294</v>
      </c>
      <c r="I28" s="106">
        <f t="shared" si="5"/>
        <v>0.96835833898305046</v>
      </c>
      <c r="J28" s="106">
        <v>0.27411167512690354</v>
      </c>
      <c r="K28" s="39">
        <f t="shared" si="6"/>
        <v>0.25017350253807102</v>
      </c>
    </row>
    <row r="29" spans="1:18" x14ac:dyDescent="0.25">
      <c r="C29" s="172"/>
      <c r="D29" s="173"/>
      <c r="E29" s="101">
        <v>6</v>
      </c>
      <c r="F29">
        <f t="shared" si="3"/>
        <v>0.26200000000000001</v>
      </c>
      <c r="G29">
        <f t="shared" si="4"/>
        <v>344.42900000000003</v>
      </c>
      <c r="H29">
        <v>300.3194888178914</v>
      </c>
      <c r="I29" s="106">
        <f t="shared" si="5"/>
        <v>1.1468752872340426</v>
      </c>
      <c r="J29" s="106">
        <v>4.2452830188679236E-2</v>
      </c>
      <c r="K29" s="39">
        <f t="shared" si="6"/>
        <v>0.14621985849056601</v>
      </c>
    </row>
    <row r="30" spans="1:18" x14ac:dyDescent="0.25">
      <c r="C30" s="172"/>
      <c r="D30" s="173"/>
      <c r="E30" s="101">
        <v>7</v>
      </c>
      <c r="F30">
        <f t="shared" si="3"/>
        <v>0.14000000000000001</v>
      </c>
      <c r="G30">
        <f t="shared" si="4"/>
        <v>55.777000000000022</v>
      </c>
      <c r="H30">
        <v>99.041533546325908</v>
      </c>
      <c r="I30" s="106">
        <f t="shared" si="5"/>
        <v>0.56316777419354846</v>
      </c>
      <c r="J30" s="106">
        <v>0.24742268041237114</v>
      </c>
      <c r="K30" s="39">
        <f t="shared" si="6"/>
        <v>0.13800494845360831</v>
      </c>
    </row>
    <row r="31" spans="1:18" x14ac:dyDescent="0.25">
      <c r="C31" s="172"/>
      <c r="D31" s="173"/>
      <c r="E31" s="101">
        <v>8</v>
      </c>
      <c r="F31">
        <f t="shared" si="3"/>
        <v>0.18149999999999999</v>
      </c>
      <c r="G31">
        <f t="shared" si="4"/>
        <v>153.96599999999998</v>
      </c>
      <c r="H31">
        <v>177.31629392971246</v>
      </c>
      <c r="I31" s="106">
        <f t="shared" si="5"/>
        <v>0.86831275675675668</v>
      </c>
      <c r="J31" s="106">
        <v>6.9444444444444448E-2</v>
      </c>
      <c r="K31" s="39">
        <f t="shared" si="6"/>
        <v>0.10692083333333333</v>
      </c>
    </row>
    <row r="32" spans="1:18" ht="15" customHeight="1" x14ac:dyDescent="0.25">
      <c r="C32" s="172"/>
      <c r="D32" s="173" t="s">
        <v>319</v>
      </c>
      <c r="E32" s="101">
        <v>9</v>
      </c>
      <c r="F32">
        <f t="shared" ref="F32:F39" si="7">AVERAGE(D15:E15)</f>
        <v>0.13400000000000001</v>
      </c>
      <c r="G32">
        <f t="shared" si="4"/>
        <v>41.58100000000001</v>
      </c>
      <c r="H32">
        <v>76.677316293929707</v>
      </c>
      <c r="I32" s="106">
        <f t="shared" si="5"/>
        <v>0.54228554166666687</v>
      </c>
      <c r="J32" s="106">
        <v>0.33256351039260967</v>
      </c>
      <c r="K32" s="39">
        <f t="shared" si="6"/>
        <v>0.13828323325635106</v>
      </c>
    </row>
    <row r="33" spans="3:11" x14ac:dyDescent="0.25">
      <c r="C33" s="172"/>
      <c r="D33" s="173"/>
      <c r="E33" s="101">
        <v>10</v>
      </c>
      <c r="F33">
        <f t="shared" si="7"/>
        <v>0.14299999999999999</v>
      </c>
      <c r="G33">
        <f t="shared" si="4"/>
        <v>62.874999999999957</v>
      </c>
      <c r="H33">
        <v>83.067092651757193</v>
      </c>
      <c r="I33" s="106">
        <f t="shared" si="5"/>
        <v>0.75691826923076866</v>
      </c>
      <c r="J33" s="106">
        <v>0.21333333333333335</v>
      </c>
      <c r="K33" s="39">
        <f t="shared" si="6"/>
        <v>0.13413333333333324</v>
      </c>
    </row>
    <row r="34" spans="3:11" x14ac:dyDescent="0.25">
      <c r="C34" s="172"/>
      <c r="D34" s="173"/>
      <c r="E34" s="101">
        <v>11</v>
      </c>
      <c r="F34">
        <f t="shared" si="7"/>
        <v>0.19800000000000001</v>
      </c>
      <c r="G34">
        <f t="shared" si="4"/>
        <v>193.005</v>
      </c>
      <c r="H34">
        <v>226.83706070287542</v>
      </c>
      <c r="I34" s="106">
        <f t="shared" si="5"/>
        <v>0.85085302816901398</v>
      </c>
      <c r="J34" s="106">
        <v>3.8379530916844345E-2</v>
      </c>
      <c r="K34" s="39">
        <f t="shared" si="6"/>
        <v>7.4074413646055423E-2</v>
      </c>
    </row>
    <row r="35" spans="3:11" x14ac:dyDescent="0.25">
      <c r="C35" s="172"/>
      <c r="D35" s="173"/>
      <c r="E35" s="101">
        <v>12</v>
      </c>
      <c r="F35">
        <f t="shared" si="7"/>
        <v>0.1585</v>
      </c>
      <c r="G35">
        <f t="shared" si="4"/>
        <v>99.547999999999988</v>
      </c>
      <c r="H35">
        <v>83.067092651757193</v>
      </c>
      <c r="I35" s="106">
        <f t="shared" si="5"/>
        <v>1.1984047692307691</v>
      </c>
      <c r="J35" s="106">
        <v>0.43902439024390238</v>
      </c>
      <c r="K35" s="39">
        <f t="shared" si="6"/>
        <v>0.43703999999999987</v>
      </c>
    </row>
    <row r="36" spans="3:11" x14ac:dyDescent="0.25">
      <c r="C36" s="172"/>
      <c r="D36" s="173"/>
      <c r="E36" s="101">
        <v>13</v>
      </c>
      <c r="F36">
        <f t="shared" si="7"/>
        <v>0.17199999999999999</v>
      </c>
      <c r="G36">
        <f t="shared" si="4"/>
        <v>131.48899999999995</v>
      </c>
      <c r="H36">
        <v>220.44728434504793</v>
      </c>
      <c r="I36" s="106">
        <f t="shared" si="5"/>
        <v>0.59646459420289832</v>
      </c>
      <c r="J36" s="106">
        <v>3.4188034188034185E-2</v>
      </c>
      <c r="K36" s="39">
        <f t="shared" si="6"/>
        <v>4.4953504273504252E-2</v>
      </c>
    </row>
    <row r="37" spans="3:11" x14ac:dyDescent="0.25">
      <c r="C37" s="172"/>
      <c r="D37" s="173"/>
      <c r="E37" s="101">
        <v>14</v>
      </c>
      <c r="F37">
        <f t="shared" si="7"/>
        <v>0.183</v>
      </c>
      <c r="G37">
        <f t="shared" si="4"/>
        <v>157.51499999999999</v>
      </c>
      <c r="H37">
        <v>274.76038338658145</v>
      </c>
      <c r="I37" s="106">
        <f t="shared" si="5"/>
        <v>0.5732813372093023</v>
      </c>
      <c r="J37" s="106">
        <v>6.0150375939849621E-2</v>
      </c>
      <c r="K37" s="39">
        <f t="shared" si="6"/>
        <v>9.4745864661654119E-2</v>
      </c>
    </row>
    <row r="38" spans="3:11" x14ac:dyDescent="0.25">
      <c r="C38" s="172"/>
      <c r="D38" s="173"/>
      <c r="E38" s="101">
        <v>15</v>
      </c>
      <c r="F38">
        <f t="shared" si="7"/>
        <v>0.14549999999999999</v>
      </c>
      <c r="G38">
        <f t="shared" si="4"/>
        <v>68.789999999999964</v>
      </c>
      <c r="H38">
        <v>94.249201277955294</v>
      </c>
      <c r="I38" s="106">
        <f t="shared" si="5"/>
        <v>0.72987355932203335</v>
      </c>
      <c r="J38" s="106">
        <v>0.32167832167832167</v>
      </c>
      <c r="K38" s="39">
        <f t="shared" si="6"/>
        <v>0.22128251748251734</v>
      </c>
    </row>
    <row r="39" spans="3:11" x14ac:dyDescent="0.25">
      <c r="C39" s="172"/>
      <c r="D39" s="173"/>
      <c r="E39" s="101">
        <v>16</v>
      </c>
      <c r="F39">
        <f t="shared" si="7"/>
        <v>0.17549999999999999</v>
      </c>
      <c r="G39">
        <f t="shared" si="4"/>
        <v>139.76999999999995</v>
      </c>
      <c r="H39">
        <v>159.7444089456869</v>
      </c>
      <c r="I39" s="106">
        <f t="shared" si="5"/>
        <v>0.87496019999999974</v>
      </c>
      <c r="J39" s="106">
        <v>0.12826603325415678</v>
      </c>
      <c r="K39" s="39">
        <f t="shared" si="6"/>
        <v>0.17927743467933488</v>
      </c>
    </row>
    <row r="40" spans="3:11" ht="15" customHeight="1" x14ac:dyDescent="0.25">
      <c r="C40" s="172"/>
      <c r="D40" s="173" t="s">
        <v>320</v>
      </c>
      <c r="E40" s="101">
        <v>17</v>
      </c>
      <c r="F40">
        <f t="shared" ref="F40:F47" si="8">AVERAGE(F15:G15)</f>
        <v>0.13200000000000001</v>
      </c>
      <c r="G40">
        <f t="shared" si="4"/>
        <v>36.849000000000004</v>
      </c>
      <c r="H40">
        <v>22.364217252396166</v>
      </c>
      <c r="I40" s="106">
        <f t="shared" si="5"/>
        <v>1.6476767142857145</v>
      </c>
      <c r="J40" s="106">
        <v>9.0712742980561565</v>
      </c>
      <c r="K40" s="39">
        <f t="shared" si="6"/>
        <v>3.3426738660907138</v>
      </c>
    </row>
    <row r="41" spans="3:11" x14ac:dyDescent="0.25">
      <c r="C41" s="172"/>
      <c r="D41" s="173"/>
      <c r="E41" s="101">
        <v>18</v>
      </c>
      <c r="F41">
        <f t="shared" si="8"/>
        <v>0.13400000000000001</v>
      </c>
      <c r="G41">
        <f t="shared" si="4"/>
        <v>41.58100000000001</v>
      </c>
      <c r="H41">
        <v>28.753993610223645</v>
      </c>
      <c r="I41" s="106">
        <f t="shared" si="5"/>
        <v>1.446094777777778</v>
      </c>
      <c r="J41" s="106">
        <v>2.0484581497797358</v>
      </c>
      <c r="K41" s="39">
        <f t="shared" si="6"/>
        <v>0.85176938325991214</v>
      </c>
    </row>
    <row r="42" spans="3:11" x14ac:dyDescent="0.25">
      <c r="C42" s="172"/>
      <c r="D42" s="173"/>
      <c r="E42" s="101">
        <v>19</v>
      </c>
      <c r="F42">
        <f t="shared" si="8"/>
        <v>0.13900000000000001</v>
      </c>
      <c r="G42">
        <f t="shared" si="4"/>
        <v>53.411000000000008</v>
      </c>
      <c r="H42">
        <v>30.351437699680517</v>
      </c>
      <c r="I42" s="106">
        <f t="shared" si="5"/>
        <v>1.759751894736842</v>
      </c>
      <c r="J42" s="106">
        <v>5.9230769230769225</v>
      </c>
      <c r="K42" s="39">
        <f t="shared" si="6"/>
        <v>3.1635746153846158</v>
      </c>
    </row>
    <row r="43" spans="3:11" x14ac:dyDescent="0.25">
      <c r="C43" s="172"/>
      <c r="D43" s="173"/>
      <c r="E43" s="101">
        <v>20</v>
      </c>
      <c r="F43">
        <f t="shared" si="8"/>
        <v>0.13400000000000001</v>
      </c>
      <c r="G43">
        <f t="shared" si="4"/>
        <v>41.58100000000001</v>
      </c>
      <c r="H43">
        <v>27.156549520766774</v>
      </c>
      <c r="I43" s="106">
        <f t="shared" si="5"/>
        <v>1.5311591764705885</v>
      </c>
      <c r="J43" s="106">
        <v>3.1578947368421053</v>
      </c>
      <c r="K43" s="39">
        <f t="shared" si="6"/>
        <v>1.3130842105263161</v>
      </c>
    </row>
    <row r="44" spans="3:11" x14ac:dyDescent="0.25">
      <c r="C44" s="172"/>
      <c r="D44" s="173"/>
      <c r="E44" s="101">
        <v>21</v>
      </c>
      <c r="F44">
        <f t="shared" si="8"/>
        <v>0.13200000000000001</v>
      </c>
      <c r="G44">
        <f t="shared" si="4"/>
        <v>36.849000000000004</v>
      </c>
      <c r="H44">
        <v>25.559105431309902</v>
      </c>
      <c r="I44" s="106">
        <f t="shared" si="5"/>
        <v>1.4417171250000003</v>
      </c>
      <c r="J44" s="106">
        <v>12.672413793103447</v>
      </c>
      <c r="K44" s="39">
        <f t="shared" si="6"/>
        <v>4.6696577586206898</v>
      </c>
    </row>
    <row r="45" spans="3:11" x14ac:dyDescent="0.25">
      <c r="C45" s="172"/>
      <c r="D45" s="173"/>
      <c r="E45" s="101">
        <v>22</v>
      </c>
      <c r="F45">
        <f t="shared" si="8"/>
        <v>0.13100000000000001</v>
      </c>
      <c r="G45">
        <f t="shared" si="4"/>
        <v>34.483000000000004</v>
      </c>
      <c r="H45">
        <v>25.559105431309902</v>
      </c>
      <c r="I45" s="106">
        <f t="shared" si="5"/>
        <v>1.3491473750000003</v>
      </c>
      <c r="J45" s="106">
        <v>3.3834586466165417</v>
      </c>
      <c r="K45" s="39">
        <f t="shared" si="6"/>
        <v>1.1667180451127823</v>
      </c>
    </row>
    <row r="46" spans="3:11" x14ac:dyDescent="0.25">
      <c r="C46" s="172"/>
      <c r="D46" s="173"/>
      <c r="E46" s="101">
        <v>23</v>
      </c>
      <c r="F46">
        <f t="shared" si="8"/>
        <v>0.13600000000000001</v>
      </c>
      <c r="G46">
        <f t="shared" si="4"/>
        <v>46.313000000000017</v>
      </c>
      <c r="H46">
        <v>340.25559105431307</v>
      </c>
      <c r="I46" s="106">
        <f t="shared" si="5"/>
        <v>0.13611238497652589</v>
      </c>
      <c r="J46" s="106">
        <v>3.1265508684863526</v>
      </c>
      <c r="K46" s="39">
        <f t="shared" si="6"/>
        <v>1.4479995037220847</v>
      </c>
    </row>
    <row r="47" spans="3:11" x14ac:dyDescent="0.25">
      <c r="C47" s="172"/>
      <c r="D47" s="173"/>
      <c r="E47" s="101">
        <v>24</v>
      </c>
      <c r="F47">
        <f t="shared" si="8"/>
        <v>0.13200000000000001</v>
      </c>
      <c r="G47">
        <f t="shared" si="4"/>
        <v>36.849000000000004</v>
      </c>
      <c r="H47">
        <v>31.948881789137364</v>
      </c>
      <c r="I47" s="106">
        <f t="shared" si="5"/>
        <v>1.1533737000000006</v>
      </c>
      <c r="J47" s="106">
        <v>3.105882352941177</v>
      </c>
      <c r="K47" s="39">
        <f t="shared" si="6"/>
        <v>1.1444865882352944</v>
      </c>
    </row>
    <row r="48" spans="3:11" x14ac:dyDescent="0.25">
      <c r="C48" s="172"/>
      <c r="D48" s="173"/>
      <c r="E48" s="101">
        <v>25</v>
      </c>
      <c r="F48">
        <f>AVERAGE(H15:I15)</f>
        <v>0.11799999999999999</v>
      </c>
      <c r="G48">
        <f t="shared" si="4"/>
        <v>3.724999999999973</v>
      </c>
      <c r="H48">
        <v>31.948881789137364</v>
      </c>
      <c r="I48" s="106">
        <f t="shared" si="5"/>
        <v>0.11659249999999921</v>
      </c>
      <c r="J48" s="106">
        <v>1.7061611374407581</v>
      </c>
      <c r="K48" s="39">
        <f t="shared" si="6"/>
        <v>6.3554502369667781E-2</v>
      </c>
    </row>
    <row r="49" spans="3:11" x14ac:dyDescent="0.25">
      <c r="C49" s="172"/>
      <c r="D49" s="173"/>
      <c r="E49" s="101">
        <v>26</v>
      </c>
      <c r="F49">
        <f>AVERAGE(H16:I16)</f>
        <v>0.126</v>
      </c>
      <c r="G49">
        <f t="shared" si="4"/>
        <v>22.652999999999992</v>
      </c>
      <c r="H49">
        <v>25.559105431309902</v>
      </c>
      <c r="I49" s="106">
        <f t="shared" si="5"/>
        <v>0.88629862499999978</v>
      </c>
      <c r="J49" s="106">
        <v>2.1077283372365336</v>
      </c>
      <c r="K49" s="39">
        <f t="shared" si="6"/>
        <v>0.47746370023419182</v>
      </c>
    </row>
    <row r="50" spans="3:11" ht="15" customHeight="1" x14ac:dyDescent="0.25">
      <c r="C50" s="172"/>
      <c r="D50" s="173" t="s">
        <v>321</v>
      </c>
      <c r="E50" s="101">
        <v>27</v>
      </c>
      <c r="F50">
        <f>AVERAGE(H17:I17)</f>
        <v>0.1215</v>
      </c>
      <c r="G50">
        <f t="shared" si="4"/>
        <v>12.005999999999981</v>
      </c>
      <c r="H50">
        <v>33.546325878594253</v>
      </c>
      <c r="I50" s="106">
        <f t="shared" si="5"/>
        <v>0.35789314285714224</v>
      </c>
      <c r="J50" s="106">
        <v>2.2018348623853212</v>
      </c>
      <c r="K50" s="39">
        <f t="shared" si="6"/>
        <v>0.26435229357798123</v>
      </c>
    </row>
    <row r="51" spans="3:11" x14ac:dyDescent="0.25">
      <c r="C51" s="172"/>
      <c r="D51" s="173"/>
      <c r="E51" s="101">
        <v>28</v>
      </c>
      <c r="F51">
        <f>AVERAGE(H18:I18)</f>
        <v>0.11749999999999999</v>
      </c>
      <c r="G51">
        <f t="shared" si="4"/>
        <v>2.5419999999999718</v>
      </c>
      <c r="H51">
        <v>27.156549520766774</v>
      </c>
      <c r="I51" s="106">
        <f t="shared" si="5"/>
        <v>9.3605411764704841E-2</v>
      </c>
      <c r="J51" s="106">
        <v>4.3106796116504862</v>
      </c>
      <c r="K51" s="39">
        <f t="shared" si="6"/>
        <v>0.10957747572815414</v>
      </c>
    </row>
    <row r="52" spans="3:11" x14ac:dyDescent="0.25">
      <c r="C52" s="172"/>
      <c r="D52" s="173"/>
      <c r="E52" s="102">
        <v>29</v>
      </c>
      <c r="I52" s="106"/>
      <c r="J52" s="106"/>
      <c r="K52" s="39">
        <f t="shared" si="6"/>
        <v>0</v>
      </c>
    </row>
    <row r="53" spans="3:11" x14ac:dyDescent="0.25">
      <c r="C53" s="172"/>
      <c r="D53" s="173"/>
      <c r="E53" s="101">
        <v>30</v>
      </c>
      <c r="F53">
        <f>AVERAGE(H19:I19)</f>
        <v>0.1245</v>
      </c>
      <c r="G53">
        <f t="shared" ref="G53:G59" si="9">((F53-0.1155)*23.66-0.0219)*100</f>
        <v>19.103999999999985</v>
      </c>
      <c r="H53">
        <v>38.338658146964868</v>
      </c>
      <c r="I53" s="106">
        <f t="shared" si="5"/>
        <v>0.49829599999999946</v>
      </c>
      <c r="J53" s="106">
        <v>2.5517241379310343</v>
      </c>
      <c r="K53" s="39">
        <f t="shared" si="6"/>
        <v>0.48748137931034441</v>
      </c>
    </row>
    <row r="54" spans="3:11" x14ac:dyDescent="0.25">
      <c r="C54" s="172"/>
      <c r="D54" s="173"/>
      <c r="E54" s="101">
        <v>31</v>
      </c>
      <c r="F54">
        <f>AVERAGE(H20:I20)</f>
        <v>0.124</v>
      </c>
      <c r="G54">
        <f t="shared" si="9"/>
        <v>17.920999999999985</v>
      </c>
      <c r="H54">
        <v>68.690095846645377</v>
      </c>
      <c r="I54" s="106">
        <f t="shared" si="5"/>
        <v>0.2608964186046509</v>
      </c>
      <c r="J54" s="106">
        <v>1.1538461538461537</v>
      </c>
      <c r="K54" s="39">
        <f t="shared" si="6"/>
        <v>0.20678076923076905</v>
      </c>
    </row>
    <row r="55" spans="3:11" x14ac:dyDescent="0.25">
      <c r="C55" s="172"/>
      <c r="D55" s="173"/>
      <c r="E55" s="101">
        <v>32</v>
      </c>
      <c r="F55">
        <f>AVERAGE(H21:I21)</f>
        <v>0.11849999999999999</v>
      </c>
      <c r="G55">
        <f t="shared" si="9"/>
        <v>4.9079999999999737</v>
      </c>
      <c r="H55">
        <v>33.546325878594253</v>
      </c>
      <c r="I55" s="106">
        <f t="shared" si="5"/>
        <v>0.14630514285714205</v>
      </c>
      <c r="J55" s="106">
        <v>2.5916230366492146</v>
      </c>
      <c r="K55" s="39">
        <f t="shared" si="6"/>
        <v>0.12719685863874278</v>
      </c>
    </row>
    <row r="56" spans="3:11" x14ac:dyDescent="0.25">
      <c r="C56" s="172"/>
      <c r="D56" s="173"/>
      <c r="E56" s="101">
        <v>33</v>
      </c>
      <c r="F56">
        <f>AVERAGE(H22:I22)</f>
        <v>0.1235</v>
      </c>
      <c r="G56">
        <f t="shared" si="9"/>
        <v>16.737999999999982</v>
      </c>
      <c r="H56">
        <v>35.143769968051132</v>
      </c>
      <c r="I56" s="106">
        <f t="shared" si="5"/>
        <v>0.4762721818181811</v>
      </c>
      <c r="J56" s="106">
        <v>1.7098445595854928</v>
      </c>
      <c r="K56" s="39">
        <f t="shared" si="6"/>
        <v>0.28619378238341947</v>
      </c>
    </row>
    <row r="57" spans="3:11" x14ac:dyDescent="0.25">
      <c r="C57" s="172"/>
      <c r="D57" s="173"/>
      <c r="E57" s="101">
        <v>34</v>
      </c>
      <c r="F57">
        <f>AVERAGE(J15:K15)</f>
        <v>0.126</v>
      </c>
      <c r="G57">
        <f t="shared" si="9"/>
        <v>22.652999999999992</v>
      </c>
      <c r="H57">
        <v>39.936102236421732</v>
      </c>
      <c r="I57" s="106">
        <f t="shared" si="5"/>
        <v>0.56723111999999964</v>
      </c>
      <c r="J57" s="106">
        <v>1.6586538461538463</v>
      </c>
      <c r="K57" s="39">
        <f t="shared" si="6"/>
        <v>0.3757348557692306</v>
      </c>
    </row>
    <row r="58" spans="3:11" x14ac:dyDescent="0.25">
      <c r="C58" s="172"/>
      <c r="D58" s="173"/>
      <c r="E58" s="101">
        <v>35</v>
      </c>
      <c r="F58">
        <f>AVERAGE(J16:K16)</f>
        <v>0.1225</v>
      </c>
      <c r="G58">
        <f t="shared" si="9"/>
        <v>14.371999999999982</v>
      </c>
      <c r="H58">
        <v>30.351437699680517</v>
      </c>
      <c r="I58" s="106">
        <f t="shared" si="5"/>
        <v>0.47351957894736774</v>
      </c>
      <c r="J58" s="106">
        <v>2.1226415094339623</v>
      </c>
      <c r="K58" s="39">
        <f t="shared" si="6"/>
        <v>0.30506603773584867</v>
      </c>
    </row>
    <row r="59" spans="3:11" x14ac:dyDescent="0.25">
      <c r="C59" s="172"/>
      <c r="D59" s="173"/>
      <c r="E59" s="101">
        <v>36</v>
      </c>
      <c r="F59">
        <f>AVERAGE(J17:K17)</f>
        <v>0.11849999999999999</v>
      </c>
      <c r="G59">
        <f t="shared" si="9"/>
        <v>4.9079999999999737</v>
      </c>
      <c r="H59">
        <v>25.559105431309902</v>
      </c>
      <c r="I59" s="106">
        <f t="shared" si="5"/>
        <v>0.19202549999999899</v>
      </c>
      <c r="J59" s="106">
        <v>1.7740384615384615</v>
      </c>
      <c r="K59" s="39">
        <f t="shared" si="6"/>
        <v>8.7069807692307211E-2</v>
      </c>
    </row>
    <row r="64" spans="3:11" x14ac:dyDescent="0.25">
      <c r="C64" t="s">
        <v>315</v>
      </c>
      <c r="I64"/>
      <c r="K64" s="3"/>
    </row>
    <row r="65" spans="2:20" x14ac:dyDescent="0.25">
      <c r="C65" s="11">
        <v>1</v>
      </c>
      <c r="D65" s="11">
        <v>2</v>
      </c>
      <c r="E65" s="11">
        <v>3</v>
      </c>
      <c r="F65" s="11">
        <v>4</v>
      </c>
      <c r="G65" s="11">
        <v>5</v>
      </c>
      <c r="H65" s="11">
        <v>6</v>
      </c>
      <c r="I65" s="11">
        <v>7</v>
      </c>
      <c r="J65" s="11">
        <v>8</v>
      </c>
      <c r="K65" s="11">
        <v>9</v>
      </c>
      <c r="L65" s="11">
        <v>10</v>
      </c>
      <c r="M65" s="11">
        <v>11</v>
      </c>
      <c r="N65" s="11">
        <v>12</v>
      </c>
    </row>
    <row r="66" spans="2:20" x14ac:dyDescent="0.25">
      <c r="B66" s="11" t="s">
        <v>38</v>
      </c>
      <c r="C66" s="12">
        <v>0.54200000000000004</v>
      </c>
      <c r="D66" s="13">
        <v>0.51700000000000002</v>
      </c>
      <c r="E66" s="13">
        <v>0.13700000000000001</v>
      </c>
      <c r="F66" s="13">
        <v>0.13400000000000001</v>
      </c>
      <c r="G66" s="13"/>
      <c r="H66" s="13"/>
      <c r="I66" s="13"/>
      <c r="J66" s="13">
        <v>0.113</v>
      </c>
      <c r="K66" s="104">
        <v>0.112</v>
      </c>
      <c r="L66" s="13"/>
      <c r="M66" s="13"/>
      <c r="N66" s="14"/>
      <c r="R66">
        <f>S66-$R$22</f>
        <v>0.52950000000000008</v>
      </c>
      <c r="S66">
        <f t="shared" ref="S66:S73" si="10">AVERAGE(C66:D66)</f>
        <v>0.52950000000000008</v>
      </c>
      <c r="T66">
        <f>10</f>
        <v>10</v>
      </c>
    </row>
    <row r="67" spans="2:20" x14ac:dyDescent="0.25">
      <c r="B67" s="11" t="s">
        <v>40</v>
      </c>
      <c r="C67" s="15">
        <v>0.34200000000000003</v>
      </c>
      <c r="D67" s="16">
        <v>0.32300000000000001</v>
      </c>
      <c r="E67" s="16">
        <v>0.14899999999999999</v>
      </c>
      <c r="F67" s="16">
        <v>0.15</v>
      </c>
      <c r="G67" s="16">
        <v>0.153</v>
      </c>
      <c r="H67" s="16">
        <v>0.152</v>
      </c>
      <c r="I67" s="16">
        <v>0.14799999999999999</v>
      </c>
      <c r="J67" s="16">
        <v>0.16</v>
      </c>
      <c r="K67" s="3">
        <v>0.11</v>
      </c>
      <c r="L67" s="16"/>
      <c r="M67" s="16">
        <v>0.14599999999999999</v>
      </c>
      <c r="N67" s="17">
        <v>0.14199999999999999</v>
      </c>
      <c r="R67">
        <f t="shared" ref="R67:R73" si="11">S67-$R$22</f>
        <v>0.33250000000000002</v>
      </c>
      <c r="S67">
        <f t="shared" si="10"/>
        <v>0.33250000000000002</v>
      </c>
      <c r="T67">
        <f>T66/2</f>
        <v>5</v>
      </c>
    </row>
    <row r="68" spans="2:20" x14ac:dyDescent="0.25">
      <c r="B68" s="11" t="s">
        <v>41</v>
      </c>
      <c r="C68" s="15">
        <v>0.20100000000000001</v>
      </c>
      <c r="D68" s="16">
        <v>0.20899999999999999</v>
      </c>
      <c r="E68" s="16">
        <v>0.20200000000000001</v>
      </c>
      <c r="F68" s="16">
        <v>0.20899999999999999</v>
      </c>
      <c r="G68" s="16">
        <v>0.13900000000000001</v>
      </c>
      <c r="H68" s="16">
        <v>0.14000000000000001</v>
      </c>
      <c r="I68" s="16">
        <v>0.11</v>
      </c>
      <c r="J68" s="16">
        <v>0.115</v>
      </c>
      <c r="K68" s="3">
        <v>0.14399999999999999</v>
      </c>
      <c r="L68" s="16">
        <v>0.14199999999999999</v>
      </c>
      <c r="M68" s="16">
        <v>0.20100000000000001</v>
      </c>
      <c r="N68" s="17">
        <v>0.20599999999999999</v>
      </c>
      <c r="R68">
        <f t="shared" si="11"/>
        <v>0.20500000000000002</v>
      </c>
      <c r="S68">
        <f t="shared" si="10"/>
        <v>0.20500000000000002</v>
      </c>
      <c r="T68">
        <f t="shared" ref="T68:T72" si="12">T67/2</f>
        <v>2.5</v>
      </c>
    </row>
    <row r="69" spans="2:20" x14ac:dyDescent="0.25">
      <c r="B69" s="11" t="s">
        <v>42</v>
      </c>
      <c r="C69" s="15">
        <v>0.17</v>
      </c>
      <c r="D69" s="16">
        <v>0.16500000000000001</v>
      </c>
      <c r="E69" s="16">
        <v>0.13</v>
      </c>
      <c r="F69" s="16">
        <v>0.13400000000000001</v>
      </c>
      <c r="G69" s="16">
        <v>0.25600000000000001</v>
      </c>
      <c r="H69" s="16">
        <v>0.24199999999999999</v>
      </c>
      <c r="I69" s="16">
        <v>0.158</v>
      </c>
      <c r="J69" s="16">
        <v>0.16900000000000001</v>
      </c>
      <c r="K69" s="3">
        <v>0.159</v>
      </c>
      <c r="L69" s="16">
        <v>0.159</v>
      </c>
      <c r="M69" s="16">
        <v>0.13700000000000001</v>
      </c>
      <c r="N69" s="17">
        <v>0.13700000000000001</v>
      </c>
      <c r="R69">
        <f t="shared" si="11"/>
        <v>0.16750000000000001</v>
      </c>
      <c r="S69">
        <f t="shared" si="10"/>
        <v>0.16750000000000001</v>
      </c>
      <c r="T69">
        <f t="shared" si="12"/>
        <v>1.25</v>
      </c>
    </row>
    <row r="70" spans="2:20" x14ac:dyDescent="0.25">
      <c r="B70" s="11" t="s">
        <v>43</v>
      </c>
      <c r="C70" s="15">
        <v>0.14099999999999999</v>
      </c>
      <c r="D70" s="16">
        <v>0.129</v>
      </c>
      <c r="E70" s="16">
        <v>0.14699999999999999</v>
      </c>
      <c r="F70" s="16">
        <v>0.14599999999999999</v>
      </c>
      <c r="G70" s="16"/>
      <c r="H70" s="16"/>
      <c r="I70" s="16">
        <v>0.13700000000000001</v>
      </c>
      <c r="J70" s="16">
        <v>0.14699999999999999</v>
      </c>
      <c r="K70" s="3">
        <v>0.14399999999999999</v>
      </c>
      <c r="L70" s="16">
        <v>0.14699999999999999</v>
      </c>
      <c r="M70" s="16"/>
      <c r="N70" s="17"/>
      <c r="R70">
        <f t="shared" si="11"/>
        <v>0.13500000000000001</v>
      </c>
      <c r="S70">
        <f t="shared" si="10"/>
        <v>0.13500000000000001</v>
      </c>
      <c r="T70">
        <f t="shared" si="12"/>
        <v>0.625</v>
      </c>
    </row>
    <row r="71" spans="2:20" x14ac:dyDescent="0.25">
      <c r="B71" s="11" t="s">
        <v>44</v>
      </c>
      <c r="C71" s="15">
        <v>0.127</v>
      </c>
      <c r="D71" s="16">
        <v>0.123</v>
      </c>
      <c r="E71" s="16">
        <v>0.19500000000000001</v>
      </c>
      <c r="F71" s="16">
        <v>0.19600000000000001</v>
      </c>
      <c r="G71" s="16"/>
      <c r="H71" s="16"/>
      <c r="I71" s="16"/>
      <c r="J71" s="16">
        <v>0.112</v>
      </c>
      <c r="K71" s="3">
        <v>0.13800000000000001</v>
      </c>
      <c r="L71" s="16">
        <v>0.14099999999999999</v>
      </c>
      <c r="M71" s="16"/>
      <c r="N71" s="17"/>
      <c r="R71">
        <f t="shared" si="11"/>
        <v>0.125</v>
      </c>
      <c r="S71">
        <f t="shared" si="10"/>
        <v>0.125</v>
      </c>
      <c r="T71">
        <f t="shared" si="12"/>
        <v>0.3125</v>
      </c>
    </row>
    <row r="72" spans="2:20" x14ac:dyDescent="0.25">
      <c r="B72" s="11" t="s">
        <v>45</v>
      </c>
      <c r="C72" s="15">
        <v>0.113</v>
      </c>
      <c r="D72" s="16">
        <v>0.113</v>
      </c>
      <c r="E72" s="16"/>
      <c r="F72" s="16"/>
      <c r="G72" s="16">
        <v>0.13400000000000001</v>
      </c>
      <c r="H72" s="16">
        <v>0.14000000000000001</v>
      </c>
      <c r="I72" s="16"/>
      <c r="J72" s="16">
        <v>0.113</v>
      </c>
      <c r="K72" s="3">
        <v>0.19700000000000001</v>
      </c>
      <c r="L72" s="16">
        <v>0.20499999999999999</v>
      </c>
      <c r="M72" s="16"/>
      <c r="N72" s="17"/>
      <c r="R72">
        <f t="shared" si="11"/>
        <v>0.113</v>
      </c>
      <c r="S72">
        <f t="shared" si="10"/>
        <v>0.113</v>
      </c>
      <c r="T72">
        <f t="shared" si="12"/>
        <v>0.15625</v>
      </c>
    </row>
    <row r="73" spans="2:20" x14ac:dyDescent="0.25">
      <c r="B73" s="11" t="s">
        <v>46</v>
      </c>
      <c r="C73" s="18">
        <v>0.108</v>
      </c>
      <c r="D73" s="19">
        <v>0.108</v>
      </c>
      <c r="E73" s="19">
        <v>0.20599999999999999</v>
      </c>
      <c r="F73" s="19">
        <v>0.20300000000000001</v>
      </c>
      <c r="G73" s="19"/>
      <c r="H73" s="19"/>
      <c r="I73" s="19"/>
      <c r="J73" s="19"/>
      <c r="K73" s="105">
        <v>0.11600000000000001</v>
      </c>
      <c r="L73" s="19">
        <v>0.11899999999999999</v>
      </c>
      <c r="M73" s="19"/>
      <c r="N73" s="20"/>
      <c r="R73">
        <f t="shared" si="11"/>
        <v>0.108</v>
      </c>
      <c r="S73">
        <f t="shared" si="10"/>
        <v>0.108</v>
      </c>
      <c r="T73">
        <v>0</v>
      </c>
    </row>
    <row r="74" spans="2:20" x14ac:dyDescent="0.25">
      <c r="I74"/>
      <c r="K74" s="3"/>
    </row>
    <row r="75" spans="2:20" x14ac:dyDescent="0.25">
      <c r="H75" s="1" t="s">
        <v>369</v>
      </c>
      <c r="I75" s="1" t="s">
        <v>326</v>
      </c>
      <c r="K75" s="11" t="s">
        <v>370</v>
      </c>
      <c r="L75" s="1" t="s">
        <v>371</v>
      </c>
      <c r="N75" s="1" t="s">
        <v>369</v>
      </c>
      <c r="O75" s="1" t="s">
        <v>372</v>
      </c>
      <c r="P75" s="1" t="s">
        <v>373</v>
      </c>
    </row>
    <row r="76" spans="2:20" x14ac:dyDescent="0.25">
      <c r="C76" s="172" t="s">
        <v>327</v>
      </c>
      <c r="D76" s="167" t="s">
        <v>318</v>
      </c>
      <c r="E76">
        <v>1</v>
      </c>
      <c r="F76" s="107">
        <f t="shared" ref="F76:F81" si="13">AVERAGE(E66:F66)</f>
        <v>0.13550000000000001</v>
      </c>
      <c r="G76" s="107">
        <f>F76-0.108</f>
        <v>2.7500000000000011E-2</v>
      </c>
      <c r="H76" s="107">
        <f>(G76*23.545-0.0256)*100</f>
        <v>62.188750000000034</v>
      </c>
      <c r="I76" s="103">
        <v>2.1276595744680899E-2</v>
      </c>
      <c r="K76" s="3">
        <v>75.153374233128829</v>
      </c>
      <c r="L76">
        <f>H76/K76</f>
        <v>0.82749112244898015</v>
      </c>
      <c r="N76" s="106">
        <v>62.188750000000034</v>
      </c>
      <c r="O76" s="103">
        <v>2.1276595744680899E-2</v>
      </c>
      <c r="P76" s="106">
        <f>(N76*O76)/100</f>
        <v>1.3231648936170251E-2</v>
      </c>
    </row>
    <row r="77" spans="2:20" x14ac:dyDescent="0.25">
      <c r="C77" s="172"/>
      <c r="D77" s="168"/>
      <c r="E77">
        <v>2</v>
      </c>
      <c r="F77" s="107">
        <f t="shared" si="13"/>
        <v>0.14949999999999999</v>
      </c>
      <c r="G77" s="107">
        <f t="shared" ref="G77:G111" si="14">F77-0.108</f>
        <v>4.1499999999999995E-2</v>
      </c>
      <c r="H77" s="107">
        <f t="shared" ref="H77:H111" si="15">(G77*23.545-0.0256)*100</f>
        <v>95.151750000000007</v>
      </c>
      <c r="I77" s="103">
        <v>0.77480314960629915</v>
      </c>
      <c r="K77" s="3">
        <v>79.754601226993856</v>
      </c>
      <c r="L77">
        <f t="shared" ref="L77:L110" si="16">H77/K77</f>
        <v>1.193056557692308</v>
      </c>
      <c r="N77" s="106">
        <v>95.151750000000007</v>
      </c>
      <c r="O77" s="103">
        <v>0.77480314960629915</v>
      </c>
      <c r="P77" s="106">
        <f t="shared" ref="P77:P111" si="17">(N77*O77)/100</f>
        <v>0.73723875590551169</v>
      </c>
    </row>
    <row r="78" spans="2:20" x14ac:dyDescent="0.25">
      <c r="C78" s="172"/>
      <c r="D78" s="168"/>
      <c r="E78">
        <v>3</v>
      </c>
      <c r="F78" s="107">
        <f t="shared" si="13"/>
        <v>0.20550000000000002</v>
      </c>
      <c r="G78" s="107">
        <f t="shared" si="14"/>
        <v>9.7500000000000017E-2</v>
      </c>
      <c r="H78" s="107">
        <f t="shared" si="15"/>
        <v>227.00375000000008</v>
      </c>
      <c r="I78" s="103">
        <v>0.3374340949033392</v>
      </c>
      <c r="K78" s="3">
        <v>110.42944785276072</v>
      </c>
      <c r="L78">
        <f t="shared" si="16"/>
        <v>2.0556450694444455</v>
      </c>
      <c r="N78" s="106">
        <v>227.00375000000008</v>
      </c>
      <c r="O78" s="103">
        <v>0.3374340949033392</v>
      </c>
      <c r="P78" s="106">
        <f t="shared" si="17"/>
        <v>0.7659880492091391</v>
      </c>
    </row>
    <row r="79" spans="2:20" x14ac:dyDescent="0.25">
      <c r="C79" s="172"/>
      <c r="D79" s="168"/>
      <c r="E79">
        <v>4</v>
      </c>
      <c r="F79" s="107">
        <f t="shared" si="13"/>
        <v>0.13200000000000001</v>
      </c>
      <c r="G79" s="107">
        <f t="shared" si="14"/>
        <v>2.4000000000000007E-2</v>
      </c>
      <c r="H79" s="107">
        <f t="shared" si="15"/>
        <v>53.948000000000029</v>
      </c>
      <c r="I79" s="103">
        <v>2.0618556701030927E-2</v>
      </c>
      <c r="K79" s="3">
        <v>30.674846625766875</v>
      </c>
      <c r="L79">
        <f t="shared" si="16"/>
        <v>1.7587048000000007</v>
      </c>
      <c r="N79" s="106">
        <v>53.948000000000029</v>
      </c>
      <c r="O79" s="103">
        <v>2.0618556701030927E-2</v>
      </c>
      <c r="P79" s="106">
        <f t="shared" si="17"/>
        <v>1.112329896907217E-2</v>
      </c>
    </row>
    <row r="80" spans="2:20" x14ac:dyDescent="0.25">
      <c r="C80" s="172"/>
      <c r="D80" s="168"/>
      <c r="E80">
        <v>5</v>
      </c>
      <c r="F80" s="107">
        <f t="shared" si="13"/>
        <v>0.14649999999999999</v>
      </c>
      <c r="G80" s="107">
        <f t="shared" si="14"/>
        <v>3.8499999999999993E-2</v>
      </c>
      <c r="H80" s="107">
        <f t="shared" si="15"/>
        <v>88.088249999999988</v>
      </c>
      <c r="I80" s="103">
        <v>0.5847457627118644</v>
      </c>
      <c r="K80" s="3">
        <v>70.552147239263803</v>
      </c>
      <c r="L80">
        <f t="shared" si="16"/>
        <v>1.2485551956521737</v>
      </c>
      <c r="N80" s="106">
        <v>88.088249999999988</v>
      </c>
      <c r="O80" s="103">
        <v>0.5847457627118644</v>
      </c>
      <c r="P80" s="106">
        <f t="shared" si="17"/>
        <v>0.51509230932203376</v>
      </c>
    </row>
    <row r="81" spans="3:16" x14ac:dyDescent="0.25">
      <c r="C81" s="172"/>
      <c r="D81" s="168"/>
      <c r="E81">
        <v>6</v>
      </c>
      <c r="F81" s="107">
        <f t="shared" si="13"/>
        <v>0.19550000000000001</v>
      </c>
      <c r="G81" s="107">
        <f t="shared" si="14"/>
        <v>8.7500000000000008E-2</v>
      </c>
      <c r="H81" s="107">
        <f t="shared" si="15"/>
        <v>203.45875000000007</v>
      </c>
      <c r="I81" s="103">
        <v>0.26304801670146138</v>
      </c>
      <c r="K81" s="3">
        <v>136.50306748466258</v>
      </c>
      <c r="L81">
        <f t="shared" si="16"/>
        <v>1.4905067977528095</v>
      </c>
      <c r="N81" s="106">
        <v>203.45875000000007</v>
      </c>
      <c r="O81" s="103">
        <v>0.26304801670146138</v>
      </c>
      <c r="P81" s="106">
        <f t="shared" si="17"/>
        <v>0.53519420668058471</v>
      </c>
    </row>
    <row r="82" spans="3:16" x14ac:dyDescent="0.25">
      <c r="C82" s="172"/>
      <c r="D82" s="168"/>
      <c r="E82">
        <v>7</v>
      </c>
      <c r="F82" s="107"/>
      <c r="G82" s="107"/>
      <c r="H82" s="107"/>
      <c r="I82" s="103">
        <v>1.3544018058690746E-2</v>
      </c>
      <c r="K82" s="3"/>
      <c r="N82" s="106"/>
    </row>
    <row r="83" spans="3:16" x14ac:dyDescent="0.25">
      <c r="C83" s="172"/>
      <c r="D83" s="169"/>
      <c r="E83">
        <v>8</v>
      </c>
      <c r="F83" s="107">
        <f>AVERAGE(E73:F73)</f>
        <v>0.20450000000000002</v>
      </c>
      <c r="G83" s="107">
        <f t="shared" si="14"/>
        <v>9.6500000000000016E-2</v>
      </c>
      <c r="H83" s="107">
        <f t="shared" si="15"/>
        <v>224.64925000000008</v>
      </c>
      <c r="I83" s="103">
        <v>7.8947368421052641E-2</v>
      </c>
      <c r="K83" s="3">
        <v>171.7791411042945</v>
      </c>
      <c r="L83">
        <f t="shared" si="16"/>
        <v>1.3077795625000004</v>
      </c>
      <c r="N83" s="106">
        <v>224.64925000000008</v>
      </c>
      <c r="O83" s="103">
        <v>7.8947368421052641E-2</v>
      </c>
      <c r="P83" s="106">
        <f t="shared" si="17"/>
        <v>0.17735467105263164</v>
      </c>
    </row>
    <row r="84" spans="3:16" x14ac:dyDescent="0.25">
      <c r="C84" s="172"/>
      <c r="D84" s="167" t="s">
        <v>319</v>
      </c>
      <c r="E84">
        <v>9</v>
      </c>
      <c r="F84" s="107"/>
      <c r="G84" s="107"/>
      <c r="H84" s="107"/>
      <c r="I84" s="103">
        <v>1.276595744680851E-2</v>
      </c>
      <c r="K84" s="3"/>
      <c r="N84" s="106"/>
    </row>
    <row r="85" spans="3:16" x14ac:dyDescent="0.25">
      <c r="C85" s="172"/>
      <c r="D85" s="168"/>
      <c r="E85">
        <v>10</v>
      </c>
      <c r="F85" s="107">
        <f>AVERAGE(G67:H67)</f>
        <v>0.1525</v>
      </c>
      <c r="G85" s="107">
        <f t="shared" si="14"/>
        <v>4.4499999999999998E-2</v>
      </c>
      <c r="H85" s="107">
        <f t="shared" si="15"/>
        <v>102.21525</v>
      </c>
      <c r="I85" s="103">
        <v>0.29299363057324845</v>
      </c>
      <c r="K85" s="3">
        <v>108.89570552147238</v>
      </c>
      <c r="L85">
        <f t="shared" si="16"/>
        <v>0.93865271830985919</v>
      </c>
      <c r="N85" s="106">
        <v>102.21525</v>
      </c>
      <c r="O85" s="103">
        <v>0.29299363057324845</v>
      </c>
      <c r="P85" s="106">
        <f t="shared" si="17"/>
        <v>0.29948417197452232</v>
      </c>
    </row>
    <row r="86" spans="3:16" x14ac:dyDescent="0.25">
      <c r="C86" s="172"/>
      <c r="D86" s="168"/>
      <c r="E86">
        <v>11</v>
      </c>
      <c r="F86" s="107">
        <f>AVERAGE(G68:H68)</f>
        <v>0.13950000000000001</v>
      </c>
      <c r="G86" s="107">
        <f t="shared" si="14"/>
        <v>3.1500000000000014E-2</v>
      </c>
      <c r="H86" s="107">
        <f t="shared" si="15"/>
        <v>71.606750000000048</v>
      </c>
      <c r="I86" s="103">
        <v>1.522198731501057</v>
      </c>
      <c r="K86" s="3">
        <v>62.883435582822067</v>
      </c>
      <c r="L86">
        <f t="shared" si="16"/>
        <v>1.1387219756097573</v>
      </c>
      <c r="N86" s="106">
        <v>71.606750000000048</v>
      </c>
      <c r="O86" s="103">
        <v>1.522198731501057</v>
      </c>
      <c r="P86" s="106">
        <f t="shared" si="17"/>
        <v>1.0899970401691339</v>
      </c>
    </row>
    <row r="87" spans="3:16" x14ac:dyDescent="0.25">
      <c r="C87" s="172"/>
      <c r="D87" s="168"/>
      <c r="E87">
        <v>12</v>
      </c>
      <c r="F87" s="107">
        <f>AVERAGE(G69:H69)</f>
        <v>0.249</v>
      </c>
      <c r="G87" s="107">
        <f t="shared" si="14"/>
        <v>0.14100000000000001</v>
      </c>
      <c r="H87" s="107">
        <f t="shared" si="15"/>
        <v>329.42450000000008</v>
      </c>
      <c r="I87" s="103">
        <v>3.7344398340248962E-2</v>
      </c>
      <c r="K87" s="3">
        <v>210.12269938650309</v>
      </c>
      <c r="L87">
        <f t="shared" si="16"/>
        <v>1.5677720729927009</v>
      </c>
      <c r="N87" s="106">
        <v>329.42450000000008</v>
      </c>
      <c r="O87" s="103">
        <v>3.7344398340248962E-2</v>
      </c>
      <c r="P87" s="106">
        <f t="shared" si="17"/>
        <v>0.12302159751037348</v>
      </c>
    </row>
    <row r="88" spans="3:16" x14ac:dyDescent="0.25">
      <c r="C88" s="172"/>
      <c r="D88" s="168"/>
      <c r="E88">
        <v>13</v>
      </c>
      <c r="F88" s="107"/>
      <c r="G88" s="107"/>
      <c r="H88" s="107"/>
      <c r="I88" s="103">
        <v>3.0534351145038167E-2</v>
      </c>
      <c r="K88" s="3"/>
      <c r="N88" s="106"/>
    </row>
    <row r="89" spans="3:16" x14ac:dyDescent="0.25">
      <c r="C89" s="172"/>
      <c r="D89" s="168"/>
      <c r="I89"/>
    </row>
    <row r="90" spans="3:16" x14ac:dyDescent="0.25">
      <c r="C90" s="172"/>
      <c r="D90" s="168"/>
      <c r="E90">
        <v>15</v>
      </c>
      <c r="F90" s="107">
        <f>AVERAGE(G72:H72)</f>
        <v>0.13700000000000001</v>
      </c>
      <c r="G90" s="107">
        <f t="shared" si="14"/>
        <v>2.9000000000000012E-2</v>
      </c>
      <c r="H90" s="107">
        <f t="shared" si="15"/>
        <v>65.720500000000044</v>
      </c>
      <c r="I90" s="103">
        <v>3.233082706766917</v>
      </c>
      <c r="K90" s="3">
        <v>52.147239263803684</v>
      </c>
      <c r="L90">
        <f t="shared" si="16"/>
        <v>1.2602872352941183</v>
      </c>
      <c r="N90" s="106">
        <v>65.720500000000044</v>
      </c>
      <c r="O90" s="103">
        <v>3.233082706766917</v>
      </c>
      <c r="P90" s="106">
        <f t="shared" si="17"/>
        <v>2.1247981203007531</v>
      </c>
    </row>
    <row r="91" spans="3:16" x14ac:dyDescent="0.25">
      <c r="C91" s="172"/>
      <c r="D91" s="169"/>
      <c r="I91"/>
    </row>
    <row r="92" spans="3:16" x14ac:dyDescent="0.25">
      <c r="C92" s="172"/>
      <c r="D92" s="167" t="s">
        <v>320</v>
      </c>
      <c r="E92">
        <v>17</v>
      </c>
      <c r="F92" s="107">
        <f>AVERAGE(I66:J66)</f>
        <v>0.113</v>
      </c>
      <c r="G92" s="107">
        <f t="shared" si="14"/>
        <v>5.0000000000000044E-3</v>
      </c>
      <c r="H92" s="107">
        <f t="shared" si="15"/>
        <v>9.212500000000011</v>
      </c>
      <c r="I92" s="103">
        <v>5.7553956834532372</v>
      </c>
      <c r="K92" s="3"/>
      <c r="N92" s="106">
        <v>9.212500000000011</v>
      </c>
      <c r="O92" s="103">
        <v>5.7553956834532372</v>
      </c>
      <c r="P92" s="106">
        <f t="shared" si="17"/>
        <v>0.53021582733813011</v>
      </c>
    </row>
    <row r="93" spans="3:16" x14ac:dyDescent="0.25">
      <c r="C93" s="172"/>
      <c r="D93" s="168"/>
      <c r="E93">
        <v>18</v>
      </c>
      <c r="F93" s="107">
        <f>AVERAGE(I67:J67)</f>
        <v>0.154</v>
      </c>
      <c r="G93" s="107">
        <f t="shared" si="14"/>
        <v>4.5999999999999999E-2</v>
      </c>
      <c r="H93" s="107">
        <f t="shared" si="15"/>
        <v>105.74699999999999</v>
      </c>
      <c r="I93" s="103">
        <v>0.20930232558139533</v>
      </c>
      <c r="K93" s="3">
        <v>30.674846625766854</v>
      </c>
      <c r="L93">
        <f t="shared" si="16"/>
        <v>3.4473522000000014</v>
      </c>
      <c r="N93" s="106">
        <v>105.74699999999999</v>
      </c>
      <c r="O93" s="103">
        <v>0.20930232558139533</v>
      </c>
      <c r="P93" s="106">
        <f t="shared" si="17"/>
        <v>0.22133093023255809</v>
      </c>
    </row>
    <row r="94" spans="3:16" x14ac:dyDescent="0.25">
      <c r="C94" s="172"/>
      <c r="D94" s="168"/>
      <c r="E94">
        <v>19</v>
      </c>
      <c r="F94" s="107">
        <f>AVERAGE(I68:J68)</f>
        <v>0.1125</v>
      </c>
      <c r="G94" s="107">
        <f t="shared" si="14"/>
        <v>4.500000000000004E-3</v>
      </c>
      <c r="H94" s="107">
        <f t="shared" si="15"/>
        <v>8.0352500000000102</v>
      </c>
      <c r="I94" s="103">
        <v>3.4523809523809517</v>
      </c>
      <c r="K94" s="3">
        <v>65.950920245398763</v>
      </c>
      <c r="L94">
        <f t="shared" si="16"/>
        <v>0.12183681395348854</v>
      </c>
      <c r="N94" s="106">
        <v>8.0352500000000102</v>
      </c>
      <c r="O94" s="103">
        <v>3.4523809523809517</v>
      </c>
      <c r="P94" s="106">
        <f t="shared" si="17"/>
        <v>0.27740744047619076</v>
      </c>
    </row>
    <row r="95" spans="3:16" x14ac:dyDescent="0.25">
      <c r="C95" s="172"/>
      <c r="D95" s="168"/>
      <c r="E95">
        <v>20</v>
      </c>
      <c r="F95" s="107">
        <f>AVERAGE(I69)</f>
        <v>0.158</v>
      </c>
      <c r="G95" s="107">
        <f t="shared" si="14"/>
        <v>0.05</v>
      </c>
      <c r="H95" s="107">
        <f>(G95*23.545-0.0256)*100</f>
        <v>115.16500000000001</v>
      </c>
      <c r="I95" s="103">
        <v>0.2767527675276753</v>
      </c>
      <c r="K95" s="3">
        <v>29.141104294478534</v>
      </c>
      <c r="L95">
        <f t="shared" si="16"/>
        <v>3.9519778947368414</v>
      </c>
      <c r="N95" s="106">
        <v>115.16500000000001</v>
      </c>
      <c r="O95" s="103">
        <v>0.2767527675276753</v>
      </c>
      <c r="P95" s="106">
        <f t="shared" si="17"/>
        <v>0.3187223247232473</v>
      </c>
    </row>
    <row r="96" spans="3:16" x14ac:dyDescent="0.25">
      <c r="C96" s="172"/>
      <c r="D96" s="168"/>
      <c r="E96">
        <v>21</v>
      </c>
      <c r="F96" s="107">
        <f>AVERAGE(I70:J70)</f>
        <v>0.14200000000000002</v>
      </c>
      <c r="G96" s="107">
        <f t="shared" si="14"/>
        <v>3.4000000000000016E-2</v>
      </c>
      <c r="H96" s="107">
        <f t="shared" si="15"/>
        <v>77.493000000000052</v>
      </c>
      <c r="I96" s="103">
        <v>0.27334851936218685</v>
      </c>
      <c r="K96" s="3">
        <v>98.159509202453989</v>
      </c>
      <c r="L96">
        <f t="shared" si="16"/>
        <v>0.78945993750000054</v>
      </c>
      <c r="N96" s="106">
        <v>77.493000000000052</v>
      </c>
      <c r="O96" s="103">
        <v>0.27334851936218685</v>
      </c>
      <c r="P96" s="106">
        <f t="shared" si="17"/>
        <v>0.2118259681093396</v>
      </c>
    </row>
    <row r="97" spans="3:16" x14ac:dyDescent="0.25">
      <c r="C97" s="172"/>
      <c r="D97" s="168"/>
      <c r="E97">
        <v>22</v>
      </c>
      <c r="F97" s="107">
        <f>AVERAGE(J71)</f>
        <v>0.112</v>
      </c>
      <c r="G97" s="107">
        <f t="shared" si="14"/>
        <v>4.0000000000000036E-3</v>
      </c>
      <c r="H97" s="107">
        <f t="shared" si="15"/>
        <v>6.8580000000000103</v>
      </c>
      <c r="I97" s="103">
        <v>2.179176755447942</v>
      </c>
      <c r="K97" s="3">
        <v>58.282208588957069</v>
      </c>
      <c r="L97">
        <f t="shared" si="16"/>
        <v>0.11766884210526331</v>
      </c>
      <c r="N97" s="106">
        <v>6.8580000000000103</v>
      </c>
      <c r="O97" s="103">
        <v>2.179176755447942</v>
      </c>
      <c r="P97" s="106">
        <f t="shared" si="17"/>
        <v>0.14944794188862009</v>
      </c>
    </row>
    <row r="98" spans="3:16" x14ac:dyDescent="0.25">
      <c r="C98" s="172"/>
      <c r="D98" s="168"/>
      <c r="E98">
        <v>23</v>
      </c>
      <c r="F98" s="107">
        <f>AVERAGE(I72:J72)</f>
        <v>0.113</v>
      </c>
      <c r="G98" s="107">
        <f t="shared" si="14"/>
        <v>5.0000000000000044E-3</v>
      </c>
      <c r="H98" s="107">
        <f t="shared" si="15"/>
        <v>9.212500000000011</v>
      </c>
      <c r="I98" s="103">
        <v>6.1197339246119729</v>
      </c>
      <c r="K98" s="3">
        <v>33.742331288343564</v>
      </c>
      <c r="L98">
        <f t="shared" si="16"/>
        <v>0.2730250000000003</v>
      </c>
      <c r="N98" s="106">
        <v>9.212500000000011</v>
      </c>
      <c r="O98" s="103">
        <v>6.1197339246119729</v>
      </c>
      <c r="P98" s="106">
        <f t="shared" si="17"/>
        <v>0.56378048780487866</v>
      </c>
    </row>
    <row r="99" spans="3:16" x14ac:dyDescent="0.25">
      <c r="C99" s="172"/>
      <c r="D99" s="168"/>
      <c r="E99">
        <v>24</v>
      </c>
      <c r="F99" s="107"/>
      <c r="G99" s="107"/>
      <c r="H99" s="107"/>
      <c r="I99" s="103">
        <v>5.6292906178489694</v>
      </c>
      <c r="K99" s="3">
        <v>35.276073619631902</v>
      </c>
      <c r="N99" s="106"/>
    </row>
    <row r="100" spans="3:16" x14ac:dyDescent="0.25">
      <c r="C100" s="172"/>
      <c r="D100" s="168"/>
      <c r="E100">
        <v>25</v>
      </c>
      <c r="F100" s="107">
        <f>AVERAGE(K66)</f>
        <v>0.112</v>
      </c>
      <c r="G100" s="107">
        <f t="shared" si="14"/>
        <v>4.0000000000000036E-3</v>
      </c>
      <c r="H100" s="107">
        <f t="shared" si="15"/>
        <v>6.8580000000000103</v>
      </c>
      <c r="I100" s="103">
        <v>2.1418092909535451</v>
      </c>
      <c r="K100" s="3">
        <v>30.674846625766875</v>
      </c>
      <c r="L100">
        <f t="shared" si="16"/>
        <v>0.22357080000000032</v>
      </c>
      <c r="N100" s="106">
        <v>6.8580000000000103</v>
      </c>
      <c r="O100" s="103">
        <v>2.1418092909535451</v>
      </c>
      <c r="P100" s="106">
        <f t="shared" si="17"/>
        <v>0.14688528117359434</v>
      </c>
    </row>
    <row r="101" spans="3:16" x14ac:dyDescent="0.25">
      <c r="C101" s="172"/>
      <c r="D101" s="169"/>
      <c r="E101">
        <v>26</v>
      </c>
      <c r="F101" s="107">
        <f t="shared" ref="F101:F106" si="18">AVERAGE(K67:L67)</f>
        <v>0.11</v>
      </c>
      <c r="G101" s="107">
        <f t="shared" si="14"/>
        <v>2.0000000000000018E-3</v>
      </c>
      <c r="H101" s="107">
        <f t="shared" si="15"/>
        <v>2.1490000000000049</v>
      </c>
      <c r="I101" s="103">
        <v>4.1860465116279073</v>
      </c>
      <c r="K101" s="3">
        <v>32.208588957055206</v>
      </c>
      <c r="L101">
        <f t="shared" si="16"/>
        <v>6.6721333333333507E-2</v>
      </c>
      <c r="N101" s="106">
        <v>2.1490000000000049</v>
      </c>
      <c r="O101" s="103">
        <v>4.1860465116279073</v>
      </c>
      <c r="P101" s="106">
        <f t="shared" si="17"/>
        <v>8.9958139534883935E-2</v>
      </c>
    </row>
    <row r="102" spans="3:16" x14ac:dyDescent="0.25">
      <c r="C102" s="172"/>
      <c r="D102" s="167" t="s">
        <v>321</v>
      </c>
      <c r="E102">
        <v>27</v>
      </c>
      <c r="F102" s="107">
        <f t="shared" si="18"/>
        <v>0.14299999999999999</v>
      </c>
      <c r="G102" s="107">
        <f t="shared" si="14"/>
        <v>3.4999999999999989E-2</v>
      </c>
      <c r="H102" s="107">
        <f t="shared" si="15"/>
        <v>79.847499999999982</v>
      </c>
      <c r="I102" s="103">
        <v>0.41201716738197436</v>
      </c>
      <c r="K102" s="3">
        <v>27.607361963190186</v>
      </c>
      <c r="L102">
        <f t="shared" si="16"/>
        <v>2.892253888888888</v>
      </c>
      <c r="N102" s="106">
        <v>79.847499999999982</v>
      </c>
      <c r="O102" s="103">
        <v>0.41201716738197436</v>
      </c>
      <c r="P102" s="106">
        <f t="shared" si="17"/>
        <v>0.32898540772532192</v>
      </c>
    </row>
    <row r="103" spans="3:16" x14ac:dyDescent="0.25">
      <c r="C103" s="172"/>
      <c r="D103" s="168"/>
      <c r="E103">
        <v>28</v>
      </c>
      <c r="F103" s="107">
        <f t="shared" si="18"/>
        <v>0.159</v>
      </c>
      <c r="G103" s="107">
        <f t="shared" si="14"/>
        <v>5.1000000000000004E-2</v>
      </c>
      <c r="H103" s="107">
        <f t="shared" si="15"/>
        <v>117.51950000000002</v>
      </c>
      <c r="I103" s="103">
        <v>0.28019323671497581</v>
      </c>
      <c r="K103" s="3">
        <v>72.085889570552141</v>
      </c>
      <c r="L103">
        <f t="shared" si="16"/>
        <v>1.6302705106382984</v>
      </c>
      <c r="N103" s="106">
        <v>117.51950000000002</v>
      </c>
      <c r="O103" s="103">
        <v>0.28019323671497581</v>
      </c>
      <c r="P103" s="106">
        <f t="shared" si="17"/>
        <v>0.32928169082125608</v>
      </c>
    </row>
    <row r="104" spans="3:16" x14ac:dyDescent="0.25">
      <c r="C104" s="172"/>
      <c r="D104" s="168"/>
      <c r="E104">
        <v>29</v>
      </c>
      <c r="F104" s="107">
        <f t="shared" si="18"/>
        <v>0.14549999999999999</v>
      </c>
      <c r="G104" s="107">
        <f t="shared" si="14"/>
        <v>3.7499999999999992E-2</v>
      </c>
      <c r="H104" s="107">
        <f t="shared" si="15"/>
        <v>85.733749999999986</v>
      </c>
      <c r="I104" s="103">
        <v>0.656429942418426</v>
      </c>
      <c r="K104" s="3">
        <v>90.490797546012288</v>
      </c>
      <c r="L104">
        <f t="shared" si="16"/>
        <v>0.94743059322033862</v>
      </c>
      <c r="N104" s="106">
        <v>85.733749999999986</v>
      </c>
      <c r="O104" s="103">
        <v>0.656429942418426</v>
      </c>
      <c r="P104" s="106">
        <f t="shared" si="17"/>
        <v>0.56278200575815729</v>
      </c>
    </row>
    <row r="105" spans="3:16" x14ac:dyDescent="0.25">
      <c r="C105" s="172"/>
      <c r="D105" s="168"/>
      <c r="E105">
        <v>30</v>
      </c>
      <c r="F105" s="107">
        <f t="shared" si="18"/>
        <v>0.13950000000000001</v>
      </c>
      <c r="G105" s="107">
        <f t="shared" si="14"/>
        <v>3.1500000000000014E-2</v>
      </c>
      <c r="H105" s="107">
        <f t="shared" si="15"/>
        <v>71.606750000000048</v>
      </c>
      <c r="I105" s="103">
        <v>0.58348623853211012</v>
      </c>
      <c r="K105" s="3">
        <v>84.355828220858911</v>
      </c>
      <c r="L105">
        <f t="shared" si="16"/>
        <v>0.8488654727272732</v>
      </c>
      <c r="N105" s="106">
        <v>71.606750000000048</v>
      </c>
      <c r="O105" s="103">
        <v>0.58348623853211012</v>
      </c>
      <c r="P105" s="106">
        <f t="shared" si="17"/>
        <v>0.41781553211009204</v>
      </c>
    </row>
    <row r="106" spans="3:16" x14ac:dyDescent="0.25">
      <c r="C106" s="172"/>
      <c r="D106" s="168"/>
      <c r="E106">
        <v>31</v>
      </c>
      <c r="F106" s="107">
        <f t="shared" si="18"/>
        <v>0.20100000000000001</v>
      </c>
      <c r="G106" s="107">
        <f t="shared" si="14"/>
        <v>9.3000000000000013E-2</v>
      </c>
      <c r="H106" s="107">
        <f t="shared" si="15"/>
        <v>216.40850000000006</v>
      </c>
      <c r="I106" s="103">
        <v>0.14173228346456693</v>
      </c>
      <c r="K106" s="3">
        <v>65.950920245398763</v>
      </c>
      <c r="L106">
        <f t="shared" si="16"/>
        <v>3.2813567906976759</v>
      </c>
      <c r="N106" s="106">
        <v>216.40850000000006</v>
      </c>
      <c r="O106" s="103">
        <v>0.14173228346456693</v>
      </c>
      <c r="P106" s="106">
        <f t="shared" si="17"/>
        <v>0.30672070866141743</v>
      </c>
    </row>
    <row r="107" spans="3:16" x14ac:dyDescent="0.25">
      <c r="C107" s="172"/>
      <c r="D107" s="168"/>
      <c r="E107">
        <v>32</v>
      </c>
      <c r="F107" s="107">
        <f>AVERAGE(L73)</f>
        <v>0.11899999999999999</v>
      </c>
      <c r="G107" s="107">
        <f t="shared" si="14"/>
        <v>1.0999999999999996E-2</v>
      </c>
      <c r="H107" s="107">
        <f>(G107*23.545-0.0256)*100</f>
        <v>23.33949999999999</v>
      </c>
      <c r="I107" s="103">
        <v>2.9339853300733494</v>
      </c>
      <c r="K107" s="3">
        <v>125.76687116564416</v>
      </c>
      <c r="L107">
        <f t="shared" si="16"/>
        <v>0.18557748780487798</v>
      </c>
      <c r="N107" s="106">
        <v>23.33949999999999</v>
      </c>
      <c r="O107" s="103">
        <v>2.9339853300733494</v>
      </c>
      <c r="P107" s="106">
        <f t="shared" si="17"/>
        <v>0.68477750611246901</v>
      </c>
    </row>
    <row r="108" spans="3:16" x14ac:dyDescent="0.25">
      <c r="C108" s="172"/>
      <c r="D108" s="168"/>
      <c r="I108"/>
    </row>
    <row r="109" spans="3:16" x14ac:dyDescent="0.25">
      <c r="C109" s="172"/>
      <c r="D109" s="168"/>
      <c r="E109">
        <v>34</v>
      </c>
      <c r="F109" s="107">
        <f>AVERAGE(M67:N67)</f>
        <v>0.14399999999999999</v>
      </c>
      <c r="G109" s="107">
        <f t="shared" si="14"/>
        <v>3.599999999999999E-2</v>
      </c>
      <c r="H109" s="107">
        <f t="shared" si="15"/>
        <v>82.201999999999984</v>
      </c>
      <c r="I109" s="103">
        <v>0.58285714285714296</v>
      </c>
      <c r="K109" s="3">
        <v>64.417177914110439</v>
      </c>
      <c r="L109">
        <f t="shared" si="16"/>
        <v>1.27608819047619</v>
      </c>
      <c r="N109" s="106">
        <v>82.201999999999984</v>
      </c>
      <c r="O109" s="103">
        <v>0.58285714285714296</v>
      </c>
      <c r="P109" s="106">
        <f t="shared" si="17"/>
        <v>0.47912022857142861</v>
      </c>
    </row>
    <row r="110" spans="3:16" x14ac:dyDescent="0.25">
      <c r="C110" s="172"/>
      <c r="D110" s="168"/>
      <c r="E110">
        <v>35</v>
      </c>
      <c r="F110" s="107">
        <f>AVERAGE(M68:N68)</f>
        <v>0.20350000000000001</v>
      </c>
      <c r="G110" s="107">
        <f t="shared" si="14"/>
        <v>9.5500000000000015E-2</v>
      </c>
      <c r="H110" s="107">
        <f t="shared" si="15"/>
        <v>222.29475000000005</v>
      </c>
      <c r="I110" s="103">
        <v>0.10552763819095479</v>
      </c>
      <c r="K110" s="3">
        <v>145.70552147239263</v>
      </c>
      <c r="L110">
        <f t="shared" si="16"/>
        <v>1.525643968421053</v>
      </c>
      <c r="N110" s="106">
        <v>222.29475000000005</v>
      </c>
      <c r="O110" s="103">
        <v>0.10552763819095479</v>
      </c>
      <c r="P110" s="106">
        <f t="shared" si="17"/>
        <v>0.23458239949748752</v>
      </c>
    </row>
    <row r="111" spans="3:16" x14ac:dyDescent="0.25">
      <c r="C111" s="172"/>
      <c r="D111" s="169"/>
      <c r="E111">
        <v>36</v>
      </c>
      <c r="F111" s="107">
        <f>AVERAGE(M69:N69)</f>
        <v>0.13700000000000001</v>
      </c>
      <c r="G111" s="107">
        <f t="shared" si="14"/>
        <v>2.9000000000000012E-2</v>
      </c>
      <c r="H111" s="107">
        <f t="shared" si="15"/>
        <v>65.720500000000044</v>
      </c>
      <c r="I111" s="103">
        <v>1.0354609929078014</v>
      </c>
      <c r="K111" s="3">
        <v>67.484662576687114</v>
      </c>
      <c r="L111">
        <f>H111/K111</f>
        <v>0.97385831818181889</v>
      </c>
      <c r="N111" s="106">
        <v>65.720500000000044</v>
      </c>
      <c r="O111" s="103">
        <v>1.0354609929078014</v>
      </c>
      <c r="P111" s="106">
        <f t="shared" si="17"/>
        <v>0.68051014184397207</v>
      </c>
    </row>
  </sheetData>
  <mergeCells count="10">
    <mergeCell ref="C24:C59"/>
    <mergeCell ref="D24:D31"/>
    <mergeCell ref="D32:D39"/>
    <mergeCell ref="D40:D49"/>
    <mergeCell ref="D50:D59"/>
    <mergeCell ref="C76:C111"/>
    <mergeCell ref="D76:D83"/>
    <mergeCell ref="D84:D91"/>
    <mergeCell ref="D92:D101"/>
    <mergeCell ref="D102:D111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457A-88E1-4A7D-B063-4049EB32A5BE}">
  <dimension ref="B4:AE80"/>
  <sheetViews>
    <sheetView topLeftCell="B4" workbookViewId="0">
      <selection activeCell="N31" sqref="N31"/>
    </sheetView>
  </sheetViews>
  <sheetFormatPr defaultRowHeight="14.25" x14ac:dyDescent="0.2"/>
  <cols>
    <col min="1" max="1" width="9.140625" style="107"/>
    <col min="2" max="2" width="16.7109375" style="107" customWidth="1"/>
    <col min="3" max="3" width="10.7109375" style="107" customWidth="1"/>
    <col min="4" max="4" width="9.140625" style="101"/>
    <col min="5" max="5" width="10.85546875" style="109" customWidth="1"/>
    <col min="6" max="6" width="13.85546875" style="109" customWidth="1"/>
    <col min="7" max="7" width="9.140625" style="107"/>
    <col min="8" max="10" width="9.140625" style="109"/>
    <col min="11" max="11" width="10.140625" style="109" customWidth="1"/>
    <col min="12" max="12" width="13.85546875" style="107" customWidth="1"/>
    <col min="13" max="13" width="15.28515625" style="107" customWidth="1"/>
    <col min="14" max="15" width="9.140625" style="101"/>
    <col min="16" max="16" width="14" style="107" customWidth="1"/>
    <col min="17" max="17" width="13.42578125" style="107" customWidth="1"/>
    <col min="18" max="19" width="9.140625" style="107"/>
    <col min="20" max="20" width="17.7109375" style="107" customWidth="1"/>
    <col min="21" max="21" width="9.140625" style="107"/>
    <col min="22" max="22" width="17.5703125" style="107" customWidth="1"/>
    <col min="23" max="23" width="17.140625" style="107" customWidth="1"/>
    <col min="24" max="27" width="9.140625" style="107"/>
    <col min="28" max="28" width="9.42578125" style="107" bestFit="1" customWidth="1"/>
    <col min="29" max="16384" width="9.140625" style="107"/>
  </cols>
  <sheetData>
    <row r="4" spans="2:31" ht="45" x14ac:dyDescent="0.25">
      <c r="C4" s="90" t="s">
        <v>284</v>
      </c>
      <c r="D4" s="90" t="s">
        <v>285</v>
      </c>
      <c r="E4" s="90" t="s">
        <v>286</v>
      </c>
      <c r="F4" s="91" t="s">
        <v>287</v>
      </c>
      <c r="G4" s="91" t="s">
        <v>288</v>
      </c>
      <c r="H4" s="91" t="s">
        <v>374</v>
      </c>
      <c r="I4" s="91" t="s">
        <v>375</v>
      </c>
      <c r="J4" s="91" t="s">
        <v>376</v>
      </c>
      <c r="K4" s="91" t="s">
        <v>377</v>
      </c>
      <c r="L4" s="91" t="s">
        <v>293</v>
      </c>
      <c r="M4" s="91" t="s">
        <v>295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2:31" ht="15" customHeight="1" x14ac:dyDescent="0.25">
      <c r="B5" s="170" t="s">
        <v>317</v>
      </c>
      <c r="C5" s="171" t="s">
        <v>318</v>
      </c>
      <c r="D5" s="101">
        <v>1</v>
      </c>
      <c r="E5" s="110">
        <v>45887</v>
      </c>
      <c r="F5" s="111">
        <f ca="1">DATEDIF(E5,TODAY(),"m")</f>
        <v>8</v>
      </c>
      <c r="G5" s="101" t="s">
        <v>378</v>
      </c>
      <c r="H5" s="109">
        <v>24</v>
      </c>
      <c r="I5" s="101">
        <v>23.2</v>
      </c>
      <c r="J5" s="101">
        <v>21.8</v>
      </c>
      <c r="K5" s="101">
        <f>AVERAGE(I5:J5)</f>
        <v>22.5</v>
      </c>
      <c r="L5" s="101">
        <v>0.26</v>
      </c>
      <c r="M5" s="112">
        <f t="shared" ref="M5:M32" si="0">(L5/K5)*30</f>
        <v>0.34666666666666668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2:31" ht="15" customHeight="1" x14ac:dyDescent="0.25">
      <c r="B6" s="170"/>
      <c r="C6" s="171"/>
      <c r="D6" s="101">
        <v>2</v>
      </c>
      <c r="E6" s="110">
        <v>45887</v>
      </c>
      <c r="F6" s="111">
        <f t="shared" ref="F6:F40" ca="1" si="1">DATEDIF(E6,TODAY(),"m")</f>
        <v>8</v>
      </c>
      <c r="G6" s="101" t="s">
        <v>378</v>
      </c>
      <c r="H6" s="109">
        <v>23.3</v>
      </c>
      <c r="I6" s="101">
        <v>23</v>
      </c>
      <c r="J6" s="101">
        <v>22.1</v>
      </c>
      <c r="K6" s="101">
        <f t="shared" ref="K6:K40" si="2">AVERAGE(I6:J6)</f>
        <v>22.55</v>
      </c>
      <c r="L6" s="101">
        <v>0.21</v>
      </c>
      <c r="M6" s="112">
        <f t="shared" si="0"/>
        <v>0.2793791574279379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2:31" ht="15" customHeight="1" x14ac:dyDescent="0.25">
      <c r="B7" s="170"/>
      <c r="C7" s="171"/>
      <c r="D7" s="101">
        <v>3</v>
      </c>
      <c r="E7" s="110">
        <v>45887</v>
      </c>
      <c r="F7" s="111">
        <f t="shared" ca="1" si="1"/>
        <v>8</v>
      </c>
      <c r="G7" s="101" t="s">
        <v>378</v>
      </c>
      <c r="H7" s="109">
        <v>23.6</v>
      </c>
      <c r="I7" s="101">
        <v>23.6</v>
      </c>
      <c r="J7" s="101">
        <v>20.9</v>
      </c>
      <c r="K7" s="101">
        <f t="shared" si="2"/>
        <v>22.25</v>
      </c>
      <c r="L7" s="101">
        <v>0.02</v>
      </c>
      <c r="M7" s="112">
        <f t="shared" si="0"/>
        <v>2.6966292134831461E-2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2:31" ht="15" customHeight="1" x14ac:dyDescent="0.25">
      <c r="B8" s="170"/>
      <c r="C8" s="171"/>
      <c r="D8" s="101">
        <v>4</v>
      </c>
      <c r="E8" s="110">
        <v>45890</v>
      </c>
      <c r="F8" s="111">
        <f t="shared" ca="1" si="1"/>
        <v>8</v>
      </c>
      <c r="G8" s="101" t="s">
        <v>378</v>
      </c>
      <c r="H8" s="109">
        <v>25</v>
      </c>
      <c r="I8" s="101">
        <v>25.3</v>
      </c>
      <c r="J8" s="101">
        <v>22.5</v>
      </c>
      <c r="K8" s="101">
        <f t="shared" si="2"/>
        <v>23.9</v>
      </c>
      <c r="L8" s="101">
        <v>7.0000000000000007E-2</v>
      </c>
      <c r="M8" s="112">
        <f t="shared" si="0"/>
        <v>8.78661087866109E-2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2:31" ht="15" customHeight="1" x14ac:dyDescent="0.25">
      <c r="B9" s="170"/>
      <c r="C9" s="171"/>
      <c r="D9" s="101">
        <v>5</v>
      </c>
      <c r="E9" s="110">
        <v>45838</v>
      </c>
      <c r="F9" s="111">
        <f t="shared" ca="1" si="1"/>
        <v>9</v>
      </c>
      <c r="G9" s="101" t="s">
        <v>379</v>
      </c>
      <c r="H9" s="109">
        <v>20.7</v>
      </c>
      <c r="I9" s="101">
        <v>20.8</v>
      </c>
      <c r="J9" s="101">
        <v>18.600000000000001</v>
      </c>
      <c r="K9" s="101">
        <f t="shared" si="2"/>
        <v>19.700000000000003</v>
      </c>
      <c r="L9" s="101">
        <v>0.18</v>
      </c>
      <c r="M9" s="112">
        <f t="shared" si="0"/>
        <v>0.27411167512690354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2:31" ht="15" customHeight="1" x14ac:dyDescent="0.25">
      <c r="B10" s="170"/>
      <c r="C10" s="171"/>
      <c r="D10" s="101">
        <v>6</v>
      </c>
      <c r="E10" s="110">
        <v>45870</v>
      </c>
      <c r="F10" s="111">
        <f t="shared" ca="1" si="1"/>
        <v>8</v>
      </c>
      <c r="G10" s="101" t="s">
        <v>379</v>
      </c>
      <c r="H10" s="109">
        <v>22.6</v>
      </c>
      <c r="I10" s="101">
        <v>22.6</v>
      </c>
      <c r="J10" s="101">
        <v>19.8</v>
      </c>
      <c r="K10" s="101">
        <f t="shared" si="2"/>
        <v>21.200000000000003</v>
      </c>
      <c r="L10" s="101">
        <v>0.03</v>
      </c>
      <c r="M10" s="112">
        <f t="shared" si="0"/>
        <v>4.2452830188679236E-2</v>
      </c>
      <c r="P10"/>
      <c r="Q10"/>
      <c r="R10"/>
      <c r="S10"/>
      <c r="V10"/>
      <c r="W10"/>
      <c r="X10"/>
      <c r="Y10"/>
      <c r="Z10"/>
      <c r="AA10"/>
      <c r="AB10"/>
      <c r="AC10"/>
    </row>
    <row r="11" spans="2:31" ht="15" customHeight="1" x14ac:dyDescent="0.25">
      <c r="B11" s="170"/>
      <c r="C11" s="171"/>
      <c r="D11" s="101">
        <v>7</v>
      </c>
      <c r="E11" s="110">
        <v>45870</v>
      </c>
      <c r="F11" s="111">
        <f t="shared" ca="1" si="1"/>
        <v>8</v>
      </c>
      <c r="G11" s="101" t="s">
        <v>379</v>
      </c>
      <c r="H11" s="109">
        <v>20.6</v>
      </c>
      <c r="I11" s="101">
        <v>20.8</v>
      </c>
      <c r="J11" s="101">
        <v>18</v>
      </c>
      <c r="K11" s="101">
        <f t="shared" si="2"/>
        <v>19.399999999999999</v>
      </c>
      <c r="L11" s="101">
        <v>0.16</v>
      </c>
      <c r="M11" s="112">
        <f t="shared" si="0"/>
        <v>0.24742268041237114</v>
      </c>
      <c r="V11"/>
      <c r="W11"/>
      <c r="X11"/>
      <c r="Y11"/>
      <c r="Z11"/>
      <c r="AA11"/>
      <c r="AB11"/>
      <c r="AC11"/>
    </row>
    <row r="12" spans="2:31" ht="15" customHeight="1" x14ac:dyDescent="0.25">
      <c r="B12" s="170"/>
      <c r="C12" s="171"/>
      <c r="D12" s="101">
        <v>8</v>
      </c>
      <c r="E12" s="110">
        <v>45870</v>
      </c>
      <c r="F12" s="111">
        <f t="shared" ca="1" si="1"/>
        <v>8</v>
      </c>
      <c r="G12" s="101" t="s">
        <v>379</v>
      </c>
      <c r="H12" s="109">
        <v>22.7</v>
      </c>
      <c r="I12" s="101">
        <v>23</v>
      </c>
      <c r="J12" s="101">
        <v>20.2</v>
      </c>
      <c r="K12" s="101">
        <f t="shared" si="2"/>
        <v>21.6</v>
      </c>
      <c r="L12" s="101">
        <v>0.05</v>
      </c>
      <c r="M12" s="112">
        <f t="shared" si="0"/>
        <v>6.9444444444444448E-2</v>
      </c>
      <c r="V12"/>
      <c r="W12"/>
      <c r="X12"/>
      <c r="Y12"/>
      <c r="Z12"/>
      <c r="AA12"/>
      <c r="AB12"/>
      <c r="AC12"/>
    </row>
    <row r="13" spans="2:31" ht="15" customHeight="1" x14ac:dyDescent="0.25">
      <c r="B13" s="170"/>
      <c r="C13" s="171" t="s">
        <v>319</v>
      </c>
      <c r="D13" s="101">
        <v>9</v>
      </c>
      <c r="E13" s="110">
        <v>45906</v>
      </c>
      <c r="F13" s="111">
        <f t="shared" ca="1" si="1"/>
        <v>7</v>
      </c>
      <c r="G13" s="101" t="s">
        <v>378</v>
      </c>
      <c r="H13" s="109">
        <v>22.6</v>
      </c>
      <c r="I13" s="101">
        <v>23</v>
      </c>
      <c r="J13" s="101">
        <v>20.3</v>
      </c>
      <c r="K13" s="101">
        <f t="shared" si="2"/>
        <v>21.65</v>
      </c>
      <c r="L13" s="101">
        <v>0.24</v>
      </c>
      <c r="M13" s="112">
        <f t="shared" si="0"/>
        <v>0.33256351039260967</v>
      </c>
      <c r="V13"/>
      <c r="W13"/>
      <c r="X13"/>
      <c r="Y13"/>
      <c r="Z13"/>
      <c r="AA13"/>
      <c r="AB13"/>
      <c r="AC13"/>
    </row>
    <row r="14" spans="2:31" ht="15" customHeight="1" x14ac:dyDescent="0.2">
      <c r="B14" s="170"/>
      <c r="C14" s="171"/>
      <c r="D14" s="101">
        <v>10</v>
      </c>
      <c r="E14" s="110">
        <v>45906</v>
      </c>
      <c r="F14" s="111">
        <f t="shared" ca="1" si="1"/>
        <v>7</v>
      </c>
      <c r="G14" s="101" t="s">
        <v>378</v>
      </c>
      <c r="H14" s="109">
        <v>23.7</v>
      </c>
      <c r="I14" s="101">
        <v>23.7</v>
      </c>
      <c r="J14" s="101">
        <v>21.3</v>
      </c>
      <c r="K14" s="101">
        <f t="shared" si="2"/>
        <v>22.5</v>
      </c>
      <c r="L14" s="101">
        <v>0.16</v>
      </c>
      <c r="M14" s="112">
        <f t="shared" si="0"/>
        <v>0.21333333333333335</v>
      </c>
      <c r="P14" s="90"/>
      <c r="Q14" s="114"/>
      <c r="R14" s="109"/>
      <c r="S14" s="109"/>
    </row>
    <row r="15" spans="2:31" ht="15" customHeight="1" x14ac:dyDescent="0.2">
      <c r="B15" s="170"/>
      <c r="C15" s="171"/>
      <c r="D15" s="101">
        <v>11</v>
      </c>
      <c r="E15" s="110">
        <v>45906</v>
      </c>
      <c r="F15" s="111">
        <f t="shared" ca="1" si="1"/>
        <v>7</v>
      </c>
      <c r="G15" s="101" t="s">
        <v>378</v>
      </c>
      <c r="H15" s="109">
        <v>24.6</v>
      </c>
      <c r="I15" s="101">
        <v>25</v>
      </c>
      <c r="J15" s="101">
        <v>21.9</v>
      </c>
      <c r="K15" s="101">
        <f t="shared" si="2"/>
        <v>23.45</v>
      </c>
      <c r="L15" s="101">
        <v>0.03</v>
      </c>
      <c r="M15" s="112">
        <f t="shared" si="0"/>
        <v>3.8379530916844345E-2</v>
      </c>
      <c r="P15" s="109"/>
      <c r="Q15" s="109"/>
      <c r="R15" s="109"/>
      <c r="S15" s="109"/>
    </row>
    <row r="16" spans="2:31" ht="15" customHeight="1" x14ac:dyDescent="0.2">
      <c r="B16" s="170"/>
      <c r="C16" s="171"/>
      <c r="D16" s="101">
        <v>12</v>
      </c>
      <c r="E16" s="110">
        <v>45906</v>
      </c>
      <c r="F16" s="111">
        <f t="shared" ca="1" si="1"/>
        <v>7</v>
      </c>
      <c r="G16" s="101" t="s">
        <v>378</v>
      </c>
      <c r="H16" s="109">
        <v>24.7</v>
      </c>
      <c r="I16" s="101">
        <v>25.2</v>
      </c>
      <c r="J16" s="101">
        <v>24</v>
      </c>
      <c r="K16" s="101">
        <f t="shared" si="2"/>
        <v>24.6</v>
      </c>
      <c r="L16" s="101">
        <v>0.36</v>
      </c>
      <c r="M16" s="112">
        <f t="shared" si="0"/>
        <v>0.43902439024390238</v>
      </c>
      <c r="N16" s="109"/>
      <c r="O16" s="109"/>
      <c r="P16" s="109"/>
    </row>
    <row r="17" spans="2:16" x14ac:dyDescent="0.2">
      <c r="B17" s="170"/>
      <c r="C17" s="171"/>
      <c r="D17" s="101">
        <v>13</v>
      </c>
      <c r="E17" s="110">
        <v>45838</v>
      </c>
      <c r="F17" s="111">
        <f t="shared" ca="1" si="1"/>
        <v>9</v>
      </c>
      <c r="G17" s="101" t="s">
        <v>379</v>
      </c>
      <c r="H17" s="109">
        <v>18.600000000000001</v>
      </c>
      <c r="I17" s="101">
        <v>19</v>
      </c>
      <c r="J17" s="101">
        <v>16.100000000000001</v>
      </c>
      <c r="K17" s="101">
        <f t="shared" si="2"/>
        <v>17.55</v>
      </c>
      <c r="L17" s="101">
        <v>0.02</v>
      </c>
      <c r="M17" s="112">
        <f t="shared" si="0"/>
        <v>3.4188034188034185E-2</v>
      </c>
      <c r="N17" s="109"/>
      <c r="O17" s="109"/>
      <c r="P17" s="109"/>
    </row>
    <row r="18" spans="2:16" x14ac:dyDescent="0.2">
      <c r="B18" s="170"/>
      <c r="C18" s="171"/>
      <c r="D18" s="101">
        <v>14</v>
      </c>
      <c r="E18" s="110">
        <v>45883</v>
      </c>
      <c r="F18" s="111">
        <f t="shared" ca="1" si="1"/>
        <v>8</v>
      </c>
      <c r="G18" s="101" t="s">
        <v>379</v>
      </c>
      <c r="H18" s="109">
        <v>21.9</v>
      </c>
      <c r="I18" s="101">
        <v>21.2</v>
      </c>
      <c r="J18" s="101">
        <v>18.7</v>
      </c>
      <c r="K18" s="101">
        <f t="shared" si="2"/>
        <v>19.95</v>
      </c>
      <c r="L18" s="101">
        <v>0.04</v>
      </c>
      <c r="M18" s="112">
        <f t="shared" si="0"/>
        <v>6.0150375939849621E-2</v>
      </c>
      <c r="N18" s="109"/>
      <c r="O18" s="109"/>
      <c r="P18" s="109"/>
    </row>
    <row r="19" spans="2:16" x14ac:dyDescent="0.2">
      <c r="B19" s="170"/>
      <c r="C19" s="171"/>
      <c r="D19" s="101">
        <v>15</v>
      </c>
      <c r="E19" s="110">
        <v>45883</v>
      </c>
      <c r="F19" s="111">
        <f t="shared" ca="1" si="1"/>
        <v>8</v>
      </c>
      <c r="G19" s="101" t="s">
        <v>379</v>
      </c>
      <c r="H19" s="109">
        <v>23.1</v>
      </c>
      <c r="I19" s="101">
        <v>23.1</v>
      </c>
      <c r="J19" s="101">
        <v>19.8</v>
      </c>
      <c r="K19" s="101">
        <f t="shared" si="2"/>
        <v>21.450000000000003</v>
      </c>
      <c r="L19" s="101">
        <v>0.23</v>
      </c>
      <c r="M19" s="112">
        <f t="shared" si="0"/>
        <v>0.32167832167832167</v>
      </c>
      <c r="N19" s="109"/>
      <c r="O19" s="109"/>
      <c r="P19" s="109"/>
    </row>
    <row r="20" spans="2:16" x14ac:dyDescent="0.2">
      <c r="B20" s="170"/>
      <c r="C20" s="171"/>
      <c r="D20" s="101">
        <v>16</v>
      </c>
      <c r="E20" s="110">
        <v>45883</v>
      </c>
      <c r="F20" s="111">
        <f t="shared" ca="1" si="1"/>
        <v>8</v>
      </c>
      <c r="G20" s="101" t="s">
        <v>379</v>
      </c>
      <c r="H20" s="109">
        <v>22.2</v>
      </c>
      <c r="I20" s="101">
        <v>22.2</v>
      </c>
      <c r="J20" s="101">
        <v>19.899999999999999</v>
      </c>
      <c r="K20" s="101">
        <f t="shared" si="2"/>
        <v>21.049999999999997</v>
      </c>
      <c r="L20" s="101">
        <v>0.09</v>
      </c>
      <c r="M20" s="112">
        <f t="shared" si="0"/>
        <v>0.12826603325415678</v>
      </c>
      <c r="N20" s="109"/>
      <c r="O20" s="109"/>
      <c r="P20" s="109"/>
    </row>
    <row r="21" spans="2:16" x14ac:dyDescent="0.2">
      <c r="B21" s="170"/>
      <c r="C21" s="171" t="s">
        <v>320</v>
      </c>
      <c r="D21" s="101">
        <v>17</v>
      </c>
      <c r="E21" s="110">
        <v>45883</v>
      </c>
      <c r="F21" s="111">
        <f t="shared" ca="1" si="1"/>
        <v>8</v>
      </c>
      <c r="G21" s="101" t="s">
        <v>378</v>
      </c>
      <c r="H21" s="109">
        <v>25.5</v>
      </c>
      <c r="I21" s="101">
        <v>24.7</v>
      </c>
      <c r="J21" s="101">
        <v>21.6</v>
      </c>
      <c r="K21" s="101">
        <f t="shared" si="2"/>
        <v>23.15</v>
      </c>
      <c r="L21" s="101">
        <v>7</v>
      </c>
      <c r="M21" s="112">
        <f t="shared" si="0"/>
        <v>9.0712742980561565</v>
      </c>
      <c r="N21" s="109"/>
      <c r="O21" s="109"/>
      <c r="P21" s="109"/>
    </row>
    <row r="22" spans="2:16" x14ac:dyDescent="0.2">
      <c r="B22" s="170"/>
      <c r="C22" s="171"/>
      <c r="D22" s="101">
        <v>18</v>
      </c>
      <c r="E22" s="110">
        <v>45906</v>
      </c>
      <c r="F22" s="111">
        <f t="shared" ca="1" si="1"/>
        <v>7</v>
      </c>
      <c r="G22" s="101" t="s">
        <v>378</v>
      </c>
      <c r="H22" s="109">
        <v>26.5</v>
      </c>
      <c r="I22" s="101">
        <v>25.2</v>
      </c>
      <c r="J22" s="101">
        <v>20.2</v>
      </c>
      <c r="K22" s="101">
        <f t="shared" si="2"/>
        <v>22.7</v>
      </c>
      <c r="L22" s="101">
        <v>1.55</v>
      </c>
      <c r="M22" s="112">
        <f t="shared" si="0"/>
        <v>2.0484581497797358</v>
      </c>
    </row>
    <row r="23" spans="2:16" x14ac:dyDescent="0.2">
      <c r="B23" s="170"/>
      <c r="C23" s="171"/>
      <c r="D23" s="101">
        <v>19</v>
      </c>
      <c r="E23" s="110">
        <v>45906</v>
      </c>
      <c r="F23" s="111">
        <f t="shared" ca="1" si="1"/>
        <v>7</v>
      </c>
      <c r="G23" s="101" t="s">
        <v>378</v>
      </c>
      <c r="H23" s="109">
        <v>19.899999999999999</v>
      </c>
      <c r="I23" s="101">
        <v>20.399999999999999</v>
      </c>
      <c r="J23" s="101">
        <v>18.600000000000001</v>
      </c>
      <c r="K23" s="101">
        <f t="shared" si="2"/>
        <v>19.5</v>
      </c>
      <c r="L23" s="101">
        <v>3.85</v>
      </c>
      <c r="M23" s="112">
        <f t="shared" si="0"/>
        <v>5.9230769230769225</v>
      </c>
    </row>
    <row r="24" spans="2:16" x14ac:dyDescent="0.2">
      <c r="B24" s="170"/>
      <c r="C24" s="171"/>
      <c r="D24" s="101">
        <v>20</v>
      </c>
      <c r="E24" s="110">
        <v>45890</v>
      </c>
      <c r="F24" s="111">
        <f t="shared" ca="1" si="1"/>
        <v>8</v>
      </c>
      <c r="G24" s="101" t="s">
        <v>378</v>
      </c>
      <c r="H24" s="109">
        <v>24.5</v>
      </c>
      <c r="I24" s="101">
        <v>24</v>
      </c>
      <c r="J24" s="101">
        <v>21.6</v>
      </c>
      <c r="K24" s="101">
        <f t="shared" si="2"/>
        <v>22.8</v>
      </c>
      <c r="L24" s="101">
        <v>2.4</v>
      </c>
      <c r="M24" s="112">
        <f t="shared" si="0"/>
        <v>3.1578947368421053</v>
      </c>
    </row>
    <row r="25" spans="2:16" x14ac:dyDescent="0.2">
      <c r="B25" s="170"/>
      <c r="C25" s="171"/>
      <c r="D25" s="101">
        <v>21</v>
      </c>
      <c r="E25" s="110">
        <v>45890</v>
      </c>
      <c r="F25" s="111">
        <f t="shared" ca="1" si="1"/>
        <v>8</v>
      </c>
      <c r="G25" s="101" t="s">
        <v>378</v>
      </c>
      <c r="H25" s="109">
        <v>26.2</v>
      </c>
      <c r="I25" s="101">
        <v>24.6</v>
      </c>
      <c r="J25" s="101">
        <v>21.8</v>
      </c>
      <c r="K25" s="101">
        <f t="shared" si="2"/>
        <v>23.200000000000003</v>
      </c>
      <c r="L25" s="101">
        <v>9.8000000000000007</v>
      </c>
      <c r="M25" s="112">
        <f t="shared" si="0"/>
        <v>12.672413793103447</v>
      </c>
    </row>
    <row r="26" spans="2:16" x14ac:dyDescent="0.2">
      <c r="B26" s="170"/>
      <c r="C26" s="171"/>
      <c r="D26" s="101">
        <v>22</v>
      </c>
      <c r="E26" s="110">
        <v>45890</v>
      </c>
      <c r="F26" s="111">
        <f t="shared" ca="1" si="1"/>
        <v>8</v>
      </c>
      <c r="G26" s="101" t="s">
        <v>379</v>
      </c>
      <c r="H26" s="109">
        <v>22.6</v>
      </c>
      <c r="I26" s="101">
        <v>21.4</v>
      </c>
      <c r="J26" s="101">
        <v>18.5</v>
      </c>
      <c r="K26" s="101">
        <f t="shared" si="2"/>
        <v>19.95</v>
      </c>
      <c r="L26" s="101">
        <v>2.25</v>
      </c>
      <c r="M26" s="112">
        <f t="shared" si="0"/>
        <v>3.3834586466165417</v>
      </c>
    </row>
    <row r="27" spans="2:16" x14ac:dyDescent="0.2">
      <c r="B27" s="170"/>
      <c r="C27" s="171"/>
      <c r="D27" s="101">
        <v>23</v>
      </c>
      <c r="E27" s="110">
        <v>45890</v>
      </c>
      <c r="F27" s="111">
        <f t="shared" ca="1" si="1"/>
        <v>8</v>
      </c>
      <c r="G27" s="101" t="s">
        <v>379</v>
      </c>
      <c r="H27" s="109">
        <v>21.5</v>
      </c>
      <c r="I27" s="101">
        <v>21.1</v>
      </c>
      <c r="J27" s="101">
        <v>19.2</v>
      </c>
      <c r="K27" s="101">
        <f t="shared" si="2"/>
        <v>20.149999999999999</v>
      </c>
      <c r="L27" s="101">
        <v>2.1</v>
      </c>
      <c r="M27" s="112">
        <f t="shared" si="0"/>
        <v>3.1265508684863526</v>
      </c>
    </row>
    <row r="28" spans="2:16" x14ac:dyDescent="0.2">
      <c r="B28" s="170"/>
      <c r="C28" s="171"/>
      <c r="D28" s="101">
        <v>24</v>
      </c>
      <c r="E28" s="110">
        <v>45890</v>
      </c>
      <c r="F28" s="111">
        <f t="shared" ca="1" si="1"/>
        <v>8</v>
      </c>
      <c r="G28" s="101" t="s">
        <v>379</v>
      </c>
      <c r="H28" s="109">
        <v>23.7</v>
      </c>
      <c r="I28" s="101">
        <v>22.3</v>
      </c>
      <c r="J28" s="101">
        <v>20.2</v>
      </c>
      <c r="K28" s="101">
        <f t="shared" si="2"/>
        <v>21.25</v>
      </c>
      <c r="L28" s="101">
        <v>2.2000000000000002</v>
      </c>
      <c r="M28" s="112">
        <f t="shared" si="0"/>
        <v>3.105882352941177</v>
      </c>
    </row>
    <row r="29" spans="2:16" customFormat="1" ht="15" x14ac:dyDescent="0.25">
      <c r="B29" s="170"/>
      <c r="C29" s="171"/>
      <c r="D29" s="101">
        <v>25</v>
      </c>
      <c r="E29" s="110">
        <v>45890</v>
      </c>
      <c r="F29" s="111">
        <f t="shared" ca="1" si="1"/>
        <v>8</v>
      </c>
      <c r="G29" s="101" t="s">
        <v>379</v>
      </c>
      <c r="H29" s="109">
        <v>24.3</v>
      </c>
      <c r="I29" s="101">
        <v>21.7</v>
      </c>
      <c r="J29" s="101">
        <v>20.5</v>
      </c>
      <c r="K29" s="101">
        <f t="shared" si="2"/>
        <v>21.1</v>
      </c>
      <c r="L29" s="101">
        <v>1.2</v>
      </c>
      <c r="M29" s="112">
        <f t="shared" si="0"/>
        <v>1.7061611374407581</v>
      </c>
      <c r="N29" s="3"/>
      <c r="O29" s="3"/>
    </row>
    <row r="30" spans="2:16" customFormat="1" ht="15" x14ac:dyDescent="0.25">
      <c r="B30" s="170"/>
      <c r="C30" s="171"/>
      <c r="D30" s="101">
        <v>26</v>
      </c>
      <c r="E30" s="110">
        <v>45890</v>
      </c>
      <c r="F30" s="111">
        <f t="shared" ca="1" si="1"/>
        <v>8</v>
      </c>
      <c r="G30" s="101" t="s">
        <v>379</v>
      </c>
      <c r="H30" s="109">
        <v>22.7</v>
      </c>
      <c r="I30" s="101">
        <v>22</v>
      </c>
      <c r="J30" s="101">
        <v>20.7</v>
      </c>
      <c r="K30" s="101">
        <f t="shared" si="2"/>
        <v>21.35</v>
      </c>
      <c r="L30" s="101">
        <v>1.5</v>
      </c>
      <c r="M30" s="112">
        <f t="shared" si="0"/>
        <v>2.1077283372365336</v>
      </c>
      <c r="N30" s="3"/>
      <c r="O30" s="3"/>
    </row>
    <row r="31" spans="2:16" customFormat="1" ht="15" x14ac:dyDescent="0.25">
      <c r="B31" s="170"/>
      <c r="C31" s="171" t="s">
        <v>321</v>
      </c>
      <c r="D31" s="101">
        <v>27</v>
      </c>
      <c r="E31" s="110">
        <v>45856</v>
      </c>
      <c r="F31" s="111">
        <f t="shared" ca="1" si="1"/>
        <v>9</v>
      </c>
      <c r="G31" s="101" t="s">
        <v>378</v>
      </c>
      <c r="H31" s="109">
        <v>30.2</v>
      </c>
      <c r="I31" s="101">
        <v>28.8</v>
      </c>
      <c r="J31" s="101">
        <v>25.7</v>
      </c>
      <c r="K31" s="101">
        <f t="shared" si="2"/>
        <v>27.25</v>
      </c>
      <c r="L31" s="101">
        <v>2</v>
      </c>
      <c r="M31" s="112">
        <f t="shared" si="0"/>
        <v>2.2018348623853212</v>
      </c>
      <c r="N31" s="3"/>
      <c r="O31" s="3"/>
    </row>
    <row r="32" spans="2:16" customFormat="1" ht="15" x14ac:dyDescent="0.25">
      <c r="B32" s="170"/>
      <c r="C32" s="171"/>
      <c r="D32" s="101">
        <v>28</v>
      </c>
      <c r="E32" s="110">
        <v>45856</v>
      </c>
      <c r="F32" s="111">
        <f t="shared" ca="1" si="1"/>
        <v>9</v>
      </c>
      <c r="G32" s="101" t="s">
        <v>378</v>
      </c>
      <c r="H32" s="109">
        <v>28</v>
      </c>
      <c r="I32" s="101">
        <v>27.3</v>
      </c>
      <c r="J32" s="101">
        <v>24.2</v>
      </c>
      <c r="K32" s="101">
        <f t="shared" si="2"/>
        <v>25.75</v>
      </c>
      <c r="L32" s="101">
        <v>3.7</v>
      </c>
      <c r="M32" s="112">
        <f t="shared" si="0"/>
        <v>4.3106796116504862</v>
      </c>
      <c r="N32" s="3"/>
      <c r="O32" s="3"/>
    </row>
    <row r="33" spans="2:21" customFormat="1" ht="15" x14ac:dyDescent="0.25">
      <c r="B33" s="170"/>
      <c r="C33" s="171"/>
      <c r="N33" s="3"/>
      <c r="O33" s="3"/>
    </row>
    <row r="34" spans="2:21" customFormat="1" ht="15" x14ac:dyDescent="0.25">
      <c r="B34" s="170"/>
      <c r="C34" s="171"/>
      <c r="D34" s="101">
        <v>30</v>
      </c>
      <c r="E34" s="110">
        <v>45890</v>
      </c>
      <c r="F34" s="111">
        <f t="shared" ca="1" si="1"/>
        <v>8</v>
      </c>
      <c r="G34" s="101" t="s">
        <v>378</v>
      </c>
      <c r="H34" s="109">
        <v>23.3</v>
      </c>
      <c r="I34" s="101">
        <v>22.6</v>
      </c>
      <c r="J34" s="101">
        <v>20.9</v>
      </c>
      <c r="K34" s="101">
        <f t="shared" si="2"/>
        <v>21.75</v>
      </c>
      <c r="L34" s="101">
        <v>1.85</v>
      </c>
      <c r="M34" s="112">
        <f t="shared" ref="M34:M40" si="3">(L34/K34)*30</f>
        <v>2.5517241379310343</v>
      </c>
      <c r="N34" s="3"/>
      <c r="O34" s="3"/>
    </row>
    <row r="35" spans="2:21" customFormat="1" ht="15" x14ac:dyDescent="0.25">
      <c r="B35" s="170"/>
      <c r="C35" s="171"/>
      <c r="D35" s="101">
        <v>31</v>
      </c>
      <c r="E35" s="110">
        <v>45890</v>
      </c>
      <c r="F35" s="111">
        <f t="shared" ca="1" si="1"/>
        <v>8</v>
      </c>
      <c r="G35" s="101" t="s">
        <v>378</v>
      </c>
      <c r="H35" s="109">
        <v>24.3</v>
      </c>
      <c r="I35" s="101">
        <v>23.8</v>
      </c>
      <c r="J35" s="101">
        <v>20.399999999999999</v>
      </c>
      <c r="K35" s="101">
        <f t="shared" si="2"/>
        <v>22.1</v>
      </c>
      <c r="L35" s="101">
        <v>0.85</v>
      </c>
      <c r="M35" s="112">
        <f t="shared" si="3"/>
        <v>1.1538461538461537</v>
      </c>
      <c r="N35" s="3"/>
      <c r="O35" s="3"/>
    </row>
    <row r="36" spans="2:21" customFormat="1" ht="15" x14ac:dyDescent="0.25">
      <c r="B36" s="170"/>
      <c r="C36" s="171"/>
      <c r="D36" s="101">
        <v>32</v>
      </c>
      <c r="E36" s="110">
        <v>45838</v>
      </c>
      <c r="F36" s="111">
        <f t="shared" ca="1" si="1"/>
        <v>9</v>
      </c>
      <c r="G36" s="101" t="s">
        <v>379</v>
      </c>
      <c r="H36" s="109">
        <v>20.5</v>
      </c>
      <c r="I36" s="101">
        <v>20.399999999999999</v>
      </c>
      <c r="J36" s="101">
        <v>17.8</v>
      </c>
      <c r="K36" s="101">
        <f t="shared" si="2"/>
        <v>19.100000000000001</v>
      </c>
      <c r="L36" s="101">
        <v>1.65</v>
      </c>
      <c r="M36" s="112">
        <f t="shared" si="3"/>
        <v>2.5916230366492146</v>
      </c>
      <c r="N36" s="3"/>
      <c r="O36" s="3"/>
    </row>
    <row r="37" spans="2:21" customFormat="1" ht="15" x14ac:dyDescent="0.25">
      <c r="B37" s="170"/>
      <c r="C37" s="171"/>
      <c r="D37" s="101">
        <v>33</v>
      </c>
      <c r="E37" s="110">
        <v>45838</v>
      </c>
      <c r="F37" s="111">
        <f t="shared" ca="1" si="1"/>
        <v>9</v>
      </c>
      <c r="G37" s="101" t="s">
        <v>379</v>
      </c>
      <c r="H37" s="109">
        <v>19.8</v>
      </c>
      <c r="I37" s="101">
        <v>20.399999999999999</v>
      </c>
      <c r="J37" s="101">
        <v>18.2</v>
      </c>
      <c r="K37" s="101">
        <f t="shared" si="2"/>
        <v>19.299999999999997</v>
      </c>
      <c r="L37" s="101">
        <v>1.1000000000000001</v>
      </c>
      <c r="M37" s="112">
        <f t="shared" si="3"/>
        <v>1.7098445595854928</v>
      </c>
      <c r="N37" s="3"/>
      <c r="O37" s="3"/>
    </row>
    <row r="38" spans="2:21" customFormat="1" ht="15" x14ac:dyDescent="0.25">
      <c r="B38" s="170"/>
      <c r="C38" s="171"/>
      <c r="D38" s="101">
        <v>34</v>
      </c>
      <c r="E38" s="110">
        <v>45882</v>
      </c>
      <c r="F38" s="111">
        <f t="shared" ca="1" si="1"/>
        <v>8</v>
      </c>
      <c r="G38" s="101" t="s">
        <v>379</v>
      </c>
      <c r="H38" s="109">
        <v>22.3</v>
      </c>
      <c r="I38" s="101">
        <v>21.4</v>
      </c>
      <c r="J38" s="101">
        <v>20.2</v>
      </c>
      <c r="K38" s="101">
        <f t="shared" si="2"/>
        <v>20.799999999999997</v>
      </c>
      <c r="L38" s="101">
        <v>1.1499999999999999</v>
      </c>
      <c r="M38" s="112">
        <f t="shared" si="3"/>
        <v>1.6586538461538463</v>
      </c>
      <c r="N38" s="3"/>
      <c r="O38" s="3"/>
    </row>
    <row r="39" spans="2:21" customFormat="1" ht="15" x14ac:dyDescent="0.25">
      <c r="B39" s="170"/>
      <c r="C39" s="171"/>
      <c r="D39" s="101">
        <v>35</v>
      </c>
      <c r="E39" s="110">
        <v>45882</v>
      </c>
      <c r="F39" s="111">
        <f t="shared" ca="1" si="1"/>
        <v>8</v>
      </c>
      <c r="G39" s="101" t="s">
        <v>379</v>
      </c>
      <c r="H39" s="109">
        <v>22.7</v>
      </c>
      <c r="I39" s="101">
        <v>22.2</v>
      </c>
      <c r="J39" s="101">
        <v>20.2</v>
      </c>
      <c r="K39" s="101">
        <f t="shared" si="2"/>
        <v>21.2</v>
      </c>
      <c r="L39" s="101">
        <v>1.5</v>
      </c>
      <c r="M39" s="112">
        <f t="shared" si="3"/>
        <v>2.1226415094339623</v>
      </c>
      <c r="N39" s="3"/>
      <c r="O39" s="3"/>
    </row>
    <row r="40" spans="2:21" customFormat="1" ht="15" x14ac:dyDescent="0.25">
      <c r="B40" s="170"/>
      <c r="C40" s="171"/>
      <c r="D40" s="101">
        <v>36</v>
      </c>
      <c r="E40" s="110">
        <v>45882</v>
      </c>
      <c r="F40" s="111">
        <f t="shared" ca="1" si="1"/>
        <v>8</v>
      </c>
      <c r="G40" s="101" t="s">
        <v>379</v>
      </c>
      <c r="H40" s="109">
        <v>22.2</v>
      </c>
      <c r="I40" s="101">
        <v>21.5</v>
      </c>
      <c r="J40" s="101">
        <v>20.100000000000001</v>
      </c>
      <c r="K40" s="101">
        <f t="shared" si="2"/>
        <v>20.8</v>
      </c>
      <c r="L40" s="101">
        <v>1.23</v>
      </c>
      <c r="M40" s="112">
        <f t="shared" si="3"/>
        <v>1.7740384615384615</v>
      </c>
      <c r="N40" s="3"/>
      <c r="O40" s="3"/>
    </row>
    <row r="41" spans="2:21" customFormat="1" ht="15" x14ac:dyDescent="0.25">
      <c r="B41" s="100"/>
      <c r="C41" s="91"/>
      <c r="D41" s="101"/>
      <c r="E41" s="110"/>
      <c r="F41" s="111"/>
      <c r="G41" s="101"/>
      <c r="H41" s="109"/>
      <c r="M41" s="112"/>
      <c r="N41" s="3"/>
      <c r="O41" s="3"/>
    </row>
    <row r="42" spans="2:21" customFormat="1" ht="45" x14ac:dyDescent="0.25">
      <c r="B42" s="119"/>
      <c r="C42" s="90" t="s">
        <v>284</v>
      </c>
      <c r="D42" s="90" t="s">
        <v>285</v>
      </c>
      <c r="E42" s="90" t="s">
        <v>286</v>
      </c>
      <c r="F42" s="91" t="s">
        <v>287</v>
      </c>
      <c r="G42" s="91" t="s">
        <v>288</v>
      </c>
      <c r="H42" s="91" t="s">
        <v>380</v>
      </c>
      <c r="I42" s="91" t="s">
        <v>381</v>
      </c>
      <c r="J42" s="91" t="s">
        <v>382</v>
      </c>
      <c r="K42" s="91" t="s">
        <v>377</v>
      </c>
      <c r="L42" s="91" t="s">
        <v>293</v>
      </c>
      <c r="M42" s="91" t="s">
        <v>295</v>
      </c>
      <c r="N42" s="3"/>
      <c r="O42" s="3"/>
    </row>
    <row r="43" spans="2:21" customFormat="1" ht="15" x14ac:dyDescent="0.25">
      <c r="B43" s="170" t="s">
        <v>327</v>
      </c>
      <c r="C43" s="171" t="s">
        <v>318</v>
      </c>
      <c r="D43" s="101">
        <v>37</v>
      </c>
      <c r="E43" s="110">
        <v>45798</v>
      </c>
      <c r="F43" s="111">
        <f ca="1">DATEDIF(E43,TODAY(),"m")</f>
        <v>11</v>
      </c>
      <c r="G43" s="101" t="s">
        <v>378</v>
      </c>
      <c r="H43" s="101">
        <v>30</v>
      </c>
      <c r="I43" s="101">
        <v>29.2</v>
      </c>
      <c r="J43" s="101">
        <v>27.2</v>
      </c>
      <c r="K43" s="101">
        <f>AVERAGE(I43,J43)</f>
        <v>28.2</v>
      </c>
      <c r="L43" s="101">
        <v>0.02</v>
      </c>
      <c r="M43" s="112">
        <f t="shared" ref="M43:M57" si="4">(L43/K43)*30</f>
        <v>2.1276595744680854E-2</v>
      </c>
      <c r="N43" s="101"/>
      <c r="O43" s="101"/>
      <c r="P43" s="107"/>
      <c r="Q43" s="107"/>
      <c r="R43" s="107"/>
      <c r="S43" s="107"/>
      <c r="T43" s="107"/>
      <c r="U43" s="107"/>
    </row>
    <row r="44" spans="2:21" customFormat="1" ht="15" x14ac:dyDescent="0.25">
      <c r="B44" s="170"/>
      <c r="C44" s="171"/>
      <c r="D44" s="101">
        <v>38</v>
      </c>
      <c r="E44" s="110">
        <v>45798</v>
      </c>
      <c r="F44" s="111">
        <f t="shared" ref="F44:F78" ca="1" si="5">DATEDIF(E44,TODAY(),"m")</f>
        <v>11</v>
      </c>
      <c r="G44" s="101" t="s">
        <v>378</v>
      </c>
      <c r="H44" s="101">
        <v>33</v>
      </c>
      <c r="I44" s="101">
        <v>32.799999999999997</v>
      </c>
      <c r="J44" s="101">
        <v>30.7</v>
      </c>
      <c r="K44" s="101">
        <f t="shared" ref="K44:K78" si="6">AVERAGE(I44,J44)</f>
        <v>31.75</v>
      </c>
      <c r="L44" s="101">
        <v>0.82</v>
      </c>
      <c r="M44" s="112">
        <f t="shared" si="4"/>
        <v>0.77480314960629915</v>
      </c>
      <c r="N44" s="101"/>
      <c r="O44" s="101"/>
      <c r="P44" s="107"/>
      <c r="Q44" s="107"/>
      <c r="R44" s="107"/>
      <c r="S44" s="107"/>
      <c r="T44" s="107"/>
      <c r="U44" s="107"/>
    </row>
    <row r="45" spans="2:21" customFormat="1" ht="15" x14ac:dyDescent="0.25">
      <c r="B45" s="170"/>
      <c r="C45" s="171"/>
      <c r="D45" s="101">
        <v>39</v>
      </c>
      <c r="E45" s="110">
        <v>45798</v>
      </c>
      <c r="F45" s="111">
        <f t="shared" ca="1" si="5"/>
        <v>11</v>
      </c>
      <c r="G45" s="101" t="s">
        <v>378</v>
      </c>
      <c r="H45" s="101">
        <v>29.7</v>
      </c>
      <c r="I45" s="101">
        <v>29.4</v>
      </c>
      <c r="J45" s="101">
        <v>27.5</v>
      </c>
      <c r="K45" s="101">
        <f t="shared" si="6"/>
        <v>28.45</v>
      </c>
      <c r="L45" s="101">
        <v>0.32</v>
      </c>
      <c r="M45" s="112">
        <f t="shared" si="4"/>
        <v>0.3374340949033392</v>
      </c>
      <c r="N45" s="101"/>
      <c r="O45" s="101"/>
      <c r="P45" s="107"/>
      <c r="Q45" s="107"/>
      <c r="R45" s="107"/>
      <c r="S45" s="107"/>
      <c r="T45" s="107"/>
      <c r="U45" s="107"/>
    </row>
    <row r="46" spans="2:21" customFormat="1" ht="15" x14ac:dyDescent="0.25">
      <c r="B46" s="170"/>
      <c r="C46" s="171"/>
      <c r="D46" s="101">
        <v>40</v>
      </c>
      <c r="E46" s="110">
        <v>45798</v>
      </c>
      <c r="F46" s="111">
        <f t="shared" ca="1" si="5"/>
        <v>11</v>
      </c>
      <c r="G46" s="101" t="s">
        <v>378</v>
      </c>
      <c r="H46" s="101">
        <v>30</v>
      </c>
      <c r="I46" s="101">
        <v>30.2</v>
      </c>
      <c r="J46" s="101">
        <v>28</v>
      </c>
      <c r="K46" s="101">
        <f t="shared" si="6"/>
        <v>29.1</v>
      </c>
      <c r="L46" s="101">
        <v>0.02</v>
      </c>
      <c r="M46" s="112">
        <f t="shared" si="4"/>
        <v>2.0618556701030927E-2</v>
      </c>
      <c r="N46" s="101"/>
      <c r="O46" s="101"/>
      <c r="P46" s="107"/>
      <c r="Q46" s="107"/>
      <c r="R46" s="107"/>
      <c r="S46" s="107"/>
      <c r="T46" s="107"/>
      <c r="U46" s="107"/>
    </row>
    <row r="47" spans="2:21" customFormat="1" ht="15" x14ac:dyDescent="0.25">
      <c r="B47" s="170"/>
      <c r="C47" s="171"/>
      <c r="D47" s="101">
        <v>41</v>
      </c>
      <c r="E47" s="110">
        <v>45772</v>
      </c>
      <c r="F47" s="111">
        <f t="shared" ca="1" si="5"/>
        <v>11</v>
      </c>
      <c r="G47" s="101" t="s">
        <v>379</v>
      </c>
      <c r="H47" s="101">
        <v>23.7</v>
      </c>
      <c r="I47" s="101">
        <v>24.9</v>
      </c>
      <c r="J47" s="101">
        <v>22.3</v>
      </c>
      <c r="K47" s="101">
        <f t="shared" si="6"/>
        <v>23.6</v>
      </c>
      <c r="L47" s="101">
        <v>0.46</v>
      </c>
      <c r="M47" s="112">
        <f t="shared" si="4"/>
        <v>0.5847457627118644</v>
      </c>
      <c r="N47" s="101"/>
      <c r="O47" s="101"/>
      <c r="P47" s="107"/>
      <c r="Q47" s="107"/>
      <c r="R47" s="107"/>
      <c r="S47" s="107"/>
      <c r="T47" s="107"/>
      <c r="U47" s="107"/>
    </row>
    <row r="48" spans="2:21" customFormat="1" ht="15" x14ac:dyDescent="0.25">
      <c r="B48" s="170"/>
      <c r="C48" s="171"/>
      <c r="D48" s="101">
        <v>42</v>
      </c>
      <c r="E48" s="110">
        <v>45772</v>
      </c>
      <c r="F48" s="111">
        <f t="shared" ca="1" si="5"/>
        <v>11</v>
      </c>
      <c r="G48" s="101" t="s">
        <v>379</v>
      </c>
      <c r="H48" s="101">
        <v>25.2</v>
      </c>
      <c r="I48" s="101">
        <v>25.6</v>
      </c>
      <c r="J48" s="101">
        <v>22.3</v>
      </c>
      <c r="K48" s="101">
        <f t="shared" si="6"/>
        <v>23.950000000000003</v>
      </c>
      <c r="L48" s="101">
        <v>0.21</v>
      </c>
      <c r="M48" s="112">
        <f t="shared" si="4"/>
        <v>0.26304801670146138</v>
      </c>
      <c r="N48" s="101"/>
      <c r="O48" s="101"/>
      <c r="P48" s="107"/>
      <c r="Q48" s="107"/>
      <c r="R48" s="107"/>
      <c r="S48" s="107"/>
      <c r="T48" s="107"/>
      <c r="U48" s="107"/>
    </row>
    <row r="49" spans="2:21" customFormat="1" ht="15" x14ac:dyDescent="0.25">
      <c r="B49" s="170"/>
      <c r="C49" s="171"/>
      <c r="D49" s="101">
        <v>43</v>
      </c>
      <c r="E49" s="110">
        <v>45772</v>
      </c>
      <c r="F49" s="111">
        <f t="shared" ca="1" si="5"/>
        <v>11</v>
      </c>
      <c r="G49" s="101" t="s">
        <v>379</v>
      </c>
      <c r="H49" s="101">
        <v>22.6</v>
      </c>
      <c r="I49" s="101">
        <v>23.5</v>
      </c>
      <c r="J49" s="101">
        <v>20.8</v>
      </c>
      <c r="K49" s="101">
        <f t="shared" si="6"/>
        <v>22.15</v>
      </c>
      <c r="L49" s="101">
        <v>0.01</v>
      </c>
      <c r="M49" s="112">
        <f t="shared" si="4"/>
        <v>1.3544018058690746E-2</v>
      </c>
      <c r="N49" s="101"/>
      <c r="O49" s="101"/>
      <c r="P49" s="107"/>
      <c r="Q49" s="107"/>
      <c r="R49" s="107"/>
      <c r="S49" s="107"/>
      <c r="T49" s="107"/>
      <c r="U49" s="107"/>
    </row>
    <row r="50" spans="2:21" customFormat="1" ht="15" x14ac:dyDescent="0.25">
      <c r="B50" s="170"/>
      <c r="C50" s="171"/>
      <c r="D50" s="101">
        <v>44</v>
      </c>
      <c r="E50" s="110">
        <v>45772</v>
      </c>
      <c r="F50" s="111">
        <f t="shared" ca="1" si="5"/>
        <v>11</v>
      </c>
      <c r="G50" s="101" t="s">
        <v>379</v>
      </c>
      <c r="H50" s="101">
        <v>23.7</v>
      </c>
      <c r="I50" s="101">
        <v>23.9</v>
      </c>
      <c r="J50" s="101">
        <v>21.7</v>
      </c>
      <c r="K50" s="101">
        <f t="shared" si="6"/>
        <v>22.799999999999997</v>
      </c>
      <c r="L50" s="101">
        <v>0.06</v>
      </c>
      <c r="M50" s="112">
        <f t="shared" si="4"/>
        <v>7.8947368421052641E-2</v>
      </c>
      <c r="N50" s="101"/>
      <c r="O50" s="101"/>
      <c r="P50" s="107"/>
      <c r="Q50" s="107"/>
      <c r="R50" s="107"/>
      <c r="S50" s="107"/>
      <c r="T50" s="107"/>
      <c r="U50" s="107"/>
    </row>
    <row r="51" spans="2:21" customFormat="1" ht="15" x14ac:dyDescent="0.25">
      <c r="B51" s="170"/>
      <c r="C51" s="171" t="s">
        <v>319</v>
      </c>
      <c r="D51" s="101">
        <v>45</v>
      </c>
      <c r="E51" s="110">
        <v>45789</v>
      </c>
      <c r="F51" s="111">
        <f t="shared" ca="1" si="5"/>
        <v>11</v>
      </c>
      <c r="G51" s="101" t="s">
        <v>378</v>
      </c>
      <c r="H51" s="101">
        <v>26.2</v>
      </c>
      <c r="I51" s="101">
        <v>24.6</v>
      </c>
      <c r="J51" s="101">
        <v>22.4</v>
      </c>
      <c r="K51" s="101">
        <f t="shared" si="6"/>
        <v>23.5</v>
      </c>
      <c r="L51" s="101">
        <v>0.01</v>
      </c>
      <c r="M51" s="112">
        <f t="shared" si="4"/>
        <v>1.276595744680851E-2</v>
      </c>
      <c r="N51" s="101"/>
      <c r="O51" s="101"/>
      <c r="P51" s="107"/>
      <c r="Q51" s="107"/>
      <c r="R51" s="107"/>
      <c r="S51" s="107"/>
      <c r="T51" s="107"/>
      <c r="U51" s="107"/>
    </row>
    <row r="52" spans="2:21" customFormat="1" ht="15" x14ac:dyDescent="0.25">
      <c r="B52" s="170"/>
      <c r="C52" s="171"/>
      <c r="D52" s="101">
        <v>46</v>
      </c>
      <c r="E52" s="110">
        <v>45789</v>
      </c>
      <c r="F52" s="111">
        <f t="shared" ca="1" si="5"/>
        <v>11</v>
      </c>
      <c r="G52" s="101" t="s">
        <v>378</v>
      </c>
      <c r="H52" s="101">
        <v>25</v>
      </c>
      <c r="I52" s="101">
        <v>24.4</v>
      </c>
      <c r="J52" s="101">
        <v>22.7</v>
      </c>
      <c r="K52" s="101">
        <f t="shared" si="6"/>
        <v>23.549999999999997</v>
      </c>
      <c r="L52" s="101">
        <v>0.23</v>
      </c>
      <c r="M52" s="112">
        <f t="shared" si="4"/>
        <v>0.29299363057324845</v>
      </c>
      <c r="N52" s="101"/>
      <c r="O52" s="101"/>
      <c r="P52" s="107"/>
      <c r="Q52" s="107"/>
      <c r="R52" s="107"/>
      <c r="S52" s="107"/>
      <c r="T52" s="107"/>
      <c r="U52" s="107"/>
    </row>
    <row r="53" spans="2:21" customFormat="1" ht="15" x14ac:dyDescent="0.25">
      <c r="B53" s="170"/>
      <c r="C53" s="171"/>
      <c r="D53" s="101">
        <v>47</v>
      </c>
      <c r="E53" s="110">
        <v>45789</v>
      </c>
      <c r="F53" s="111">
        <f t="shared" ca="1" si="5"/>
        <v>11</v>
      </c>
      <c r="G53" s="101" t="s">
        <v>378</v>
      </c>
      <c r="H53" s="101">
        <v>24.4</v>
      </c>
      <c r="I53" s="101">
        <v>24.5</v>
      </c>
      <c r="J53" s="101">
        <v>22.8</v>
      </c>
      <c r="K53" s="101">
        <f t="shared" si="6"/>
        <v>23.65</v>
      </c>
      <c r="L53" s="101">
        <v>1.2</v>
      </c>
      <c r="M53" s="112">
        <f t="shared" si="4"/>
        <v>1.522198731501057</v>
      </c>
      <c r="N53" s="101"/>
      <c r="O53" s="101"/>
      <c r="P53" s="107"/>
      <c r="Q53" s="107"/>
      <c r="R53" s="107"/>
      <c r="S53" s="107"/>
      <c r="T53" s="107"/>
      <c r="U53" s="107"/>
    </row>
    <row r="54" spans="2:21" customFormat="1" ht="15" x14ac:dyDescent="0.25">
      <c r="B54" s="170"/>
      <c r="C54" s="171"/>
      <c r="D54" s="101">
        <v>48</v>
      </c>
      <c r="E54" s="110">
        <v>45789</v>
      </c>
      <c r="F54" s="111">
        <f t="shared" ca="1" si="5"/>
        <v>11</v>
      </c>
      <c r="G54" s="101" t="s">
        <v>378</v>
      </c>
      <c r="H54" s="101">
        <v>25</v>
      </c>
      <c r="I54" s="101">
        <v>25.4</v>
      </c>
      <c r="J54" s="101">
        <v>22.8</v>
      </c>
      <c r="K54" s="101">
        <f t="shared" si="6"/>
        <v>24.1</v>
      </c>
      <c r="L54" s="101">
        <v>0.03</v>
      </c>
      <c r="M54" s="112">
        <f t="shared" si="4"/>
        <v>3.7344398340248962E-2</v>
      </c>
      <c r="N54" s="101"/>
      <c r="O54" s="101"/>
      <c r="P54" s="107"/>
      <c r="Q54" s="107"/>
      <c r="R54" s="107"/>
      <c r="S54" s="107"/>
      <c r="T54" s="107"/>
      <c r="U54" s="107"/>
    </row>
    <row r="55" spans="2:21" customFormat="1" ht="15" x14ac:dyDescent="0.25">
      <c r="B55" s="170"/>
      <c r="C55" s="171"/>
      <c r="D55" s="101">
        <v>49</v>
      </c>
      <c r="E55" s="110">
        <v>45799</v>
      </c>
      <c r="F55" s="111">
        <f t="shared" ca="1" si="5"/>
        <v>11</v>
      </c>
      <c r="G55" s="101" t="s">
        <v>379</v>
      </c>
      <c r="H55" s="101">
        <v>21.1</v>
      </c>
      <c r="I55" s="101">
        <v>20.399999999999999</v>
      </c>
      <c r="J55" s="101">
        <v>18.899999999999999</v>
      </c>
      <c r="K55" s="101">
        <f t="shared" si="6"/>
        <v>19.649999999999999</v>
      </c>
      <c r="L55" s="101">
        <v>0.02</v>
      </c>
      <c r="M55" s="112">
        <f t="shared" si="4"/>
        <v>3.0534351145038167E-2</v>
      </c>
      <c r="N55" s="101"/>
      <c r="O55" s="101"/>
      <c r="P55" s="107"/>
      <c r="Q55" s="107"/>
      <c r="R55" s="107"/>
      <c r="S55" s="107"/>
      <c r="T55" s="107"/>
      <c r="U55" s="107"/>
    </row>
    <row r="56" spans="2:21" customFormat="1" ht="15" x14ac:dyDescent="0.25">
      <c r="B56" s="170"/>
      <c r="C56" s="171"/>
      <c r="D56" s="101">
        <v>50</v>
      </c>
      <c r="E56" s="110">
        <v>45799</v>
      </c>
      <c r="F56" s="111">
        <f t="shared" ca="1" si="5"/>
        <v>11</v>
      </c>
      <c r="G56" s="101" t="s">
        <v>379</v>
      </c>
      <c r="H56" s="101">
        <v>20.9</v>
      </c>
      <c r="I56" s="101">
        <v>19.3</v>
      </c>
      <c r="J56" s="101">
        <v>18</v>
      </c>
      <c r="K56" s="101">
        <f t="shared" si="6"/>
        <v>18.649999999999999</v>
      </c>
      <c r="L56" s="101">
        <v>0.04</v>
      </c>
      <c r="M56" s="112">
        <f t="shared" si="4"/>
        <v>6.4343163538873996E-2</v>
      </c>
      <c r="N56" s="101"/>
      <c r="O56" s="101"/>
      <c r="P56" s="107"/>
      <c r="Q56" s="107"/>
      <c r="R56" s="107"/>
      <c r="S56" s="107"/>
      <c r="T56" s="107"/>
      <c r="U56" s="107"/>
    </row>
    <row r="57" spans="2:21" customFormat="1" ht="15" x14ac:dyDescent="0.25">
      <c r="B57" s="170"/>
      <c r="C57" s="171"/>
      <c r="D57" s="101">
        <v>51</v>
      </c>
      <c r="E57" s="110">
        <v>45890</v>
      </c>
      <c r="F57" s="111">
        <f t="shared" ca="1" si="5"/>
        <v>8</v>
      </c>
      <c r="G57" s="101" t="s">
        <v>379</v>
      </c>
      <c r="H57" s="101">
        <v>20</v>
      </c>
      <c r="I57" s="101">
        <v>20.399999999999999</v>
      </c>
      <c r="J57" s="101">
        <v>19.5</v>
      </c>
      <c r="K57" s="101">
        <f t="shared" si="6"/>
        <v>19.95</v>
      </c>
      <c r="L57" s="101">
        <v>2.15</v>
      </c>
      <c r="M57" s="112">
        <f t="shared" si="4"/>
        <v>3.233082706766917</v>
      </c>
      <c r="N57" s="101"/>
      <c r="O57" s="101"/>
      <c r="P57" s="107"/>
      <c r="Q57" s="107"/>
      <c r="R57" s="107"/>
      <c r="S57" s="107"/>
      <c r="T57" s="107"/>
      <c r="U57" s="107"/>
    </row>
    <row r="58" spans="2:21" customFormat="1" ht="15" x14ac:dyDescent="0.25">
      <c r="B58" s="170"/>
      <c r="C58" s="171"/>
      <c r="D58" s="102">
        <v>52</v>
      </c>
      <c r="E58" s="115">
        <v>45890</v>
      </c>
      <c r="F58" s="116">
        <f t="shared" ca="1" si="5"/>
        <v>8</v>
      </c>
      <c r="G58" s="102" t="s">
        <v>379</v>
      </c>
      <c r="H58" s="102">
        <v>16.7</v>
      </c>
      <c r="I58" s="102">
        <v>15.1</v>
      </c>
      <c r="J58" s="102">
        <v>14.7</v>
      </c>
      <c r="K58" s="108"/>
      <c r="L58" s="102"/>
      <c r="M58" s="118"/>
      <c r="N58" s="101"/>
      <c r="O58" s="101"/>
      <c r="P58" s="107"/>
      <c r="Q58" s="107"/>
      <c r="R58" s="107"/>
      <c r="S58" s="107"/>
      <c r="T58" s="107"/>
      <c r="U58" s="107"/>
    </row>
    <row r="59" spans="2:21" x14ac:dyDescent="0.2">
      <c r="B59" s="170"/>
      <c r="C59" s="171" t="s">
        <v>320</v>
      </c>
      <c r="D59" s="101">
        <v>53</v>
      </c>
      <c r="E59" s="120">
        <v>45882</v>
      </c>
      <c r="F59" s="111">
        <f t="shared" ca="1" si="5"/>
        <v>8</v>
      </c>
      <c r="G59" s="101" t="s">
        <v>378</v>
      </c>
      <c r="H59" s="101">
        <v>22.1</v>
      </c>
      <c r="I59" s="109">
        <v>22.2</v>
      </c>
      <c r="J59" s="109">
        <v>19.5</v>
      </c>
      <c r="K59" s="101">
        <f t="shared" si="6"/>
        <v>20.85</v>
      </c>
      <c r="L59" s="101">
        <v>4</v>
      </c>
      <c r="M59" s="112">
        <f t="shared" ref="M59:M74" si="7">(L59/K59)*30</f>
        <v>5.7553956834532372</v>
      </c>
    </row>
    <row r="60" spans="2:21" x14ac:dyDescent="0.2">
      <c r="B60" s="170"/>
      <c r="C60" s="171"/>
      <c r="D60" s="101">
        <v>54</v>
      </c>
      <c r="E60" s="120">
        <v>45882</v>
      </c>
      <c r="F60" s="111">
        <f t="shared" ca="1" si="5"/>
        <v>8</v>
      </c>
      <c r="G60" s="101" t="s">
        <v>378</v>
      </c>
      <c r="H60" s="101">
        <v>23</v>
      </c>
      <c r="I60" s="109">
        <v>22.8</v>
      </c>
      <c r="J60" s="109">
        <v>20.2</v>
      </c>
      <c r="K60" s="101">
        <f t="shared" si="6"/>
        <v>21.5</v>
      </c>
      <c r="L60" s="101">
        <v>0.15</v>
      </c>
      <c r="M60" s="112">
        <f t="shared" si="7"/>
        <v>0.20930232558139533</v>
      </c>
    </row>
    <row r="61" spans="2:21" x14ac:dyDescent="0.2">
      <c r="B61" s="170"/>
      <c r="C61" s="171"/>
      <c r="D61" s="101">
        <v>55</v>
      </c>
      <c r="E61" s="120">
        <v>45870</v>
      </c>
      <c r="F61" s="111">
        <f t="shared" ca="1" si="5"/>
        <v>8</v>
      </c>
      <c r="G61" s="101" t="s">
        <v>378</v>
      </c>
      <c r="H61" s="101">
        <v>26.2</v>
      </c>
      <c r="I61" s="109">
        <v>26.1</v>
      </c>
      <c r="J61" s="109">
        <v>24.3</v>
      </c>
      <c r="K61" s="101">
        <f t="shared" si="6"/>
        <v>25.200000000000003</v>
      </c>
      <c r="L61" s="101">
        <v>2.9</v>
      </c>
      <c r="M61" s="112">
        <f t="shared" si="7"/>
        <v>3.4523809523809517</v>
      </c>
    </row>
    <row r="62" spans="2:21" x14ac:dyDescent="0.2">
      <c r="B62" s="170"/>
      <c r="C62" s="171"/>
      <c r="D62" s="101">
        <v>56</v>
      </c>
      <c r="E62" s="120">
        <v>45870</v>
      </c>
      <c r="F62" s="111">
        <f t="shared" ca="1" si="5"/>
        <v>8</v>
      </c>
      <c r="G62" s="101" t="s">
        <v>378</v>
      </c>
      <c r="H62" s="101">
        <v>28.2</v>
      </c>
      <c r="I62" s="109">
        <v>28.4</v>
      </c>
      <c r="J62" s="109">
        <v>25.8</v>
      </c>
      <c r="K62" s="101">
        <f t="shared" si="6"/>
        <v>27.1</v>
      </c>
      <c r="L62" s="101">
        <v>0.25</v>
      </c>
      <c r="M62" s="112">
        <f t="shared" si="7"/>
        <v>0.2767527675276753</v>
      </c>
    </row>
    <row r="63" spans="2:21" x14ac:dyDescent="0.2">
      <c r="B63" s="170"/>
      <c r="C63" s="171"/>
      <c r="D63" s="101">
        <v>57</v>
      </c>
      <c r="E63" s="120">
        <v>45870</v>
      </c>
      <c r="F63" s="111">
        <f t="shared" ca="1" si="5"/>
        <v>8</v>
      </c>
      <c r="G63" s="101" t="s">
        <v>378</v>
      </c>
      <c r="H63" s="101">
        <v>22.5</v>
      </c>
      <c r="I63" s="109">
        <v>22.5</v>
      </c>
      <c r="J63" s="109">
        <v>21.4</v>
      </c>
      <c r="K63" s="101">
        <f t="shared" si="6"/>
        <v>21.95</v>
      </c>
      <c r="L63" s="101">
        <v>0.2</v>
      </c>
      <c r="M63" s="112">
        <f t="shared" si="7"/>
        <v>0.27334851936218685</v>
      </c>
    </row>
    <row r="64" spans="2:21" x14ac:dyDescent="0.2">
      <c r="B64" s="170"/>
      <c r="C64" s="171"/>
      <c r="D64" s="101">
        <v>58</v>
      </c>
      <c r="E64" s="120">
        <v>45821</v>
      </c>
      <c r="F64" s="111">
        <f t="shared" ca="1" si="5"/>
        <v>10</v>
      </c>
      <c r="G64" s="101" t="s">
        <v>379</v>
      </c>
      <c r="H64" s="101">
        <v>22.7</v>
      </c>
      <c r="I64" s="109">
        <v>21.8</v>
      </c>
      <c r="J64" s="109">
        <v>19.5</v>
      </c>
      <c r="K64" s="101">
        <f t="shared" si="6"/>
        <v>20.65</v>
      </c>
      <c r="L64" s="101">
        <v>1.5</v>
      </c>
      <c r="M64" s="112">
        <f t="shared" si="7"/>
        <v>2.179176755447942</v>
      </c>
    </row>
    <row r="65" spans="2:13" x14ac:dyDescent="0.2">
      <c r="B65" s="170"/>
      <c r="C65" s="171"/>
      <c r="D65" s="101">
        <v>59</v>
      </c>
      <c r="E65" s="120">
        <v>45821</v>
      </c>
      <c r="F65" s="111">
        <f t="shared" ca="1" si="5"/>
        <v>10</v>
      </c>
      <c r="G65" s="101" t="s">
        <v>379</v>
      </c>
      <c r="H65" s="101">
        <v>24</v>
      </c>
      <c r="I65" s="109">
        <v>23.8</v>
      </c>
      <c r="J65" s="109">
        <v>21.3</v>
      </c>
      <c r="K65" s="101">
        <f t="shared" si="6"/>
        <v>22.55</v>
      </c>
      <c r="L65" s="101">
        <v>4.5999999999999996</v>
      </c>
      <c r="M65" s="112">
        <f t="shared" si="7"/>
        <v>6.1197339246119729</v>
      </c>
    </row>
    <row r="66" spans="2:13" x14ac:dyDescent="0.2">
      <c r="B66" s="170"/>
      <c r="C66" s="171"/>
      <c r="D66" s="101">
        <v>60</v>
      </c>
      <c r="E66" s="120">
        <v>45821</v>
      </c>
      <c r="F66" s="111">
        <f t="shared" ca="1" si="5"/>
        <v>10</v>
      </c>
      <c r="G66" s="101" t="s">
        <v>379</v>
      </c>
      <c r="H66" s="101">
        <v>22.4</v>
      </c>
      <c r="I66" s="109">
        <v>21.9</v>
      </c>
      <c r="J66" s="109">
        <v>21.8</v>
      </c>
      <c r="K66" s="101">
        <f t="shared" si="6"/>
        <v>21.85</v>
      </c>
      <c r="L66" s="101">
        <v>4.0999999999999996</v>
      </c>
      <c r="M66" s="112">
        <f t="shared" si="7"/>
        <v>5.6292906178489694</v>
      </c>
    </row>
    <row r="67" spans="2:13" x14ac:dyDescent="0.2">
      <c r="B67" s="170"/>
      <c r="C67" s="171"/>
      <c r="D67" s="101">
        <v>61</v>
      </c>
      <c r="E67" s="120">
        <v>45786</v>
      </c>
      <c r="F67" s="111">
        <f t="shared" ca="1" si="5"/>
        <v>11</v>
      </c>
      <c r="G67" s="101" t="s">
        <v>379</v>
      </c>
      <c r="H67" s="101">
        <v>21.4</v>
      </c>
      <c r="I67" s="109">
        <v>21.8</v>
      </c>
      <c r="J67" s="109">
        <v>19.100000000000001</v>
      </c>
      <c r="K67" s="101">
        <f t="shared" si="6"/>
        <v>20.450000000000003</v>
      </c>
      <c r="L67" s="101">
        <v>1.46</v>
      </c>
      <c r="M67" s="112">
        <f t="shared" si="7"/>
        <v>2.1418092909535451</v>
      </c>
    </row>
    <row r="68" spans="2:13" x14ac:dyDescent="0.2">
      <c r="B68" s="170"/>
      <c r="C68" s="171"/>
      <c r="D68" s="101">
        <v>62</v>
      </c>
      <c r="E68" s="120">
        <v>45786</v>
      </c>
      <c r="F68" s="111">
        <f t="shared" ca="1" si="5"/>
        <v>11</v>
      </c>
      <c r="G68" s="101" t="s">
        <v>379</v>
      </c>
      <c r="H68" s="101">
        <v>21</v>
      </c>
      <c r="I68" s="109">
        <v>22.7</v>
      </c>
      <c r="J68" s="109">
        <v>20.3</v>
      </c>
      <c r="K68" s="101">
        <f t="shared" si="6"/>
        <v>21.5</v>
      </c>
      <c r="L68" s="101">
        <v>3</v>
      </c>
      <c r="M68" s="112">
        <f t="shared" si="7"/>
        <v>4.1860465116279073</v>
      </c>
    </row>
    <row r="69" spans="2:13" x14ac:dyDescent="0.2">
      <c r="B69" s="170"/>
      <c r="C69" s="171" t="s">
        <v>321</v>
      </c>
      <c r="D69" s="101">
        <v>63</v>
      </c>
      <c r="E69" s="120">
        <v>45883</v>
      </c>
      <c r="F69" s="111">
        <f t="shared" ca="1" si="5"/>
        <v>8</v>
      </c>
      <c r="G69" s="101" t="s">
        <v>378</v>
      </c>
      <c r="H69" s="101">
        <v>25</v>
      </c>
      <c r="I69" s="109">
        <v>24.9</v>
      </c>
      <c r="J69" s="109">
        <v>21.7</v>
      </c>
      <c r="K69" s="101">
        <f t="shared" si="6"/>
        <v>23.299999999999997</v>
      </c>
      <c r="L69" s="101">
        <v>0.32</v>
      </c>
      <c r="M69" s="112">
        <f t="shared" si="7"/>
        <v>0.41201716738197436</v>
      </c>
    </row>
    <row r="70" spans="2:13" x14ac:dyDescent="0.2">
      <c r="B70" s="170"/>
      <c r="C70" s="171"/>
      <c r="D70" s="101">
        <v>64</v>
      </c>
      <c r="E70" s="120">
        <v>45772</v>
      </c>
      <c r="F70" s="111">
        <f t="shared" ca="1" si="5"/>
        <v>11</v>
      </c>
      <c r="G70" s="101" t="s">
        <v>378</v>
      </c>
      <c r="H70" s="101">
        <v>33.6</v>
      </c>
      <c r="I70" s="109">
        <v>32.6</v>
      </c>
      <c r="J70" s="109">
        <v>29.5</v>
      </c>
      <c r="K70" s="101">
        <f t="shared" si="6"/>
        <v>31.05</v>
      </c>
      <c r="L70" s="101">
        <v>0.28999999999999998</v>
      </c>
      <c r="M70" s="112">
        <f t="shared" si="7"/>
        <v>0.28019323671497581</v>
      </c>
    </row>
    <row r="71" spans="2:13" x14ac:dyDescent="0.2">
      <c r="B71" s="170"/>
      <c r="C71" s="171"/>
      <c r="D71" s="101">
        <v>65</v>
      </c>
      <c r="E71" s="120">
        <v>45860</v>
      </c>
      <c r="F71" s="111">
        <f t="shared" ca="1" si="5"/>
        <v>9</v>
      </c>
      <c r="G71" s="101" t="s">
        <v>378</v>
      </c>
      <c r="H71" s="101">
        <v>27.6</v>
      </c>
      <c r="I71" s="109">
        <v>27.3</v>
      </c>
      <c r="J71" s="109">
        <v>24.8</v>
      </c>
      <c r="K71" s="101">
        <f t="shared" si="6"/>
        <v>26.05</v>
      </c>
      <c r="L71" s="101">
        <v>0.56999999999999995</v>
      </c>
      <c r="M71" s="112">
        <f t="shared" si="7"/>
        <v>0.656429942418426</v>
      </c>
    </row>
    <row r="72" spans="2:13" x14ac:dyDescent="0.2">
      <c r="B72" s="170"/>
      <c r="C72" s="171"/>
      <c r="D72" s="101">
        <v>66</v>
      </c>
      <c r="E72" s="120">
        <v>45860</v>
      </c>
      <c r="F72" s="111">
        <f t="shared" ca="1" si="5"/>
        <v>9</v>
      </c>
      <c r="G72" s="101" t="s">
        <v>378</v>
      </c>
      <c r="H72" s="101">
        <v>29.5</v>
      </c>
      <c r="I72" s="109">
        <v>27.7</v>
      </c>
      <c r="J72" s="109">
        <v>26.8</v>
      </c>
      <c r="K72" s="101">
        <f t="shared" si="6"/>
        <v>27.25</v>
      </c>
      <c r="L72" s="101">
        <v>0.53</v>
      </c>
      <c r="M72" s="112">
        <f t="shared" si="7"/>
        <v>0.58348623853211012</v>
      </c>
    </row>
    <row r="73" spans="2:13" x14ac:dyDescent="0.2">
      <c r="B73" s="170"/>
      <c r="C73" s="171"/>
      <c r="D73" s="101">
        <v>67</v>
      </c>
      <c r="E73" s="120">
        <v>45860</v>
      </c>
      <c r="F73" s="111">
        <f t="shared" ca="1" si="5"/>
        <v>9</v>
      </c>
      <c r="G73" s="101" t="s">
        <v>378</v>
      </c>
      <c r="H73" s="101">
        <v>26.6</v>
      </c>
      <c r="I73" s="109">
        <v>26.4</v>
      </c>
      <c r="J73" s="109">
        <v>24.4</v>
      </c>
      <c r="K73" s="101">
        <f t="shared" si="6"/>
        <v>25.4</v>
      </c>
      <c r="L73" s="101">
        <v>0.12</v>
      </c>
      <c r="M73" s="112">
        <f t="shared" si="7"/>
        <v>0.14173228346456693</v>
      </c>
    </row>
    <row r="74" spans="2:13" x14ac:dyDescent="0.2">
      <c r="B74" s="170"/>
      <c r="C74" s="171"/>
      <c r="D74" s="101">
        <v>68</v>
      </c>
      <c r="E74" s="120">
        <v>45890</v>
      </c>
      <c r="F74" s="111">
        <f t="shared" ca="1" si="5"/>
        <v>8</v>
      </c>
      <c r="G74" s="101" t="s">
        <v>379</v>
      </c>
      <c r="H74" s="101">
        <v>21.2</v>
      </c>
      <c r="I74" s="109">
        <v>21.6</v>
      </c>
      <c r="J74" s="109">
        <v>19.3</v>
      </c>
      <c r="K74" s="101">
        <f t="shared" si="6"/>
        <v>20.450000000000003</v>
      </c>
      <c r="L74" s="101">
        <v>2</v>
      </c>
      <c r="M74" s="112">
        <f t="shared" si="7"/>
        <v>2.9339853300733494</v>
      </c>
    </row>
    <row r="75" spans="2:13" x14ac:dyDescent="0.2">
      <c r="B75" s="170"/>
      <c r="C75" s="171"/>
      <c r="D75" s="102">
        <v>69</v>
      </c>
      <c r="E75" s="121">
        <v>45890</v>
      </c>
      <c r="F75" s="116">
        <f t="shared" ca="1" si="5"/>
        <v>8</v>
      </c>
      <c r="G75" s="102" t="s">
        <v>379</v>
      </c>
      <c r="H75" s="102">
        <v>21.9</v>
      </c>
      <c r="I75" s="117">
        <v>18.899999999999999</v>
      </c>
      <c r="J75" s="117"/>
      <c r="K75" s="108"/>
      <c r="L75" s="102"/>
      <c r="M75" s="118"/>
    </row>
    <row r="76" spans="2:13" x14ac:dyDescent="0.2">
      <c r="B76" s="170"/>
      <c r="C76" s="171"/>
      <c r="D76" s="101">
        <v>70</v>
      </c>
      <c r="E76" s="120">
        <v>45890</v>
      </c>
      <c r="F76" s="111">
        <f t="shared" ca="1" si="5"/>
        <v>8</v>
      </c>
      <c r="G76" s="101" t="s">
        <v>379</v>
      </c>
      <c r="H76" s="101">
        <v>18.8</v>
      </c>
      <c r="I76" s="109">
        <v>18.3</v>
      </c>
      <c r="J76" s="109">
        <v>16.7</v>
      </c>
      <c r="K76" s="101">
        <f t="shared" si="6"/>
        <v>17.5</v>
      </c>
      <c r="L76" s="101">
        <v>0.34</v>
      </c>
      <c r="M76" s="112">
        <f>(L76/K76)*30</f>
        <v>0.58285714285714296</v>
      </c>
    </row>
    <row r="77" spans="2:13" x14ac:dyDescent="0.2">
      <c r="B77" s="170"/>
      <c r="C77" s="171"/>
      <c r="D77" s="101">
        <v>71</v>
      </c>
      <c r="E77" s="120">
        <v>45789</v>
      </c>
      <c r="F77" s="111">
        <f t="shared" ca="1" si="5"/>
        <v>11</v>
      </c>
      <c r="G77" s="101" t="s">
        <v>379</v>
      </c>
      <c r="H77" s="101">
        <v>21</v>
      </c>
      <c r="I77" s="109">
        <v>20.6</v>
      </c>
      <c r="J77" s="109">
        <v>19.2</v>
      </c>
      <c r="K77" s="101">
        <f t="shared" si="6"/>
        <v>19.899999999999999</v>
      </c>
      <c r="L77" s="101">
        <v>7.0000000000000007E-2</v>
      </c>
      <c r="M77" s="112">
        <f>(L77/K77)*30</f>
        <v>0.10552763819095479</v>
      </c>
    </row>
    <row r="78" spans="2:13" x14ac:dyDescent="0.2">
      <c r="B78" s="170"/>
      <c r="C78" s="171"/>
      <c r="D78" s="101">
        <v>72</v>
      </c>
      <c r="E78" s="120">
        <v>45786</v>
      </c>
      <c r="F78" s="111">
        <f t="shared" ca="1" si="5"/>
        <v>11</v>
      </c>
      <c r="G78" s="101" t="s">
        <v>379</v>
      </c>
      <c r="H78" s="101">
        <v>22.1</v>
      </c>
      <c r="I78" s="109">
        <v>22.7</v>
      </c>
      <c r="J78" s="109">
        <v>19.600000000000001</v>
      </c>
      <c r="K78" s="101">
        <f t="shared" si="6"/>
        <v>21.15</v>
      </c>
      <c r="L78" s="101">
        <v>0.73</v>
      </c>
      <c r="M78" s="112">
        <f>(L78/K78)*30</f>
        <v>1.0354609929078014</v>
      </c>
    </row>
    <row r="79" spans="2:13" x14ac:dyDescent="0.2">
      <c r="F79" s="111"/>
    </row>
    <row r="80" spans="2:13" x14ac:dyDescent="0.2">
      <c r="F80" s="122">
        <f ca="1">AVERAGE(F5:F79)</f>
        <v>8.929577464788732</v>
      </c>
    </row>
  </sheetData>
  <mergeCells count="10">
    <mergeCell ref="B5:B40"/>
    <mergeCell ref="C5:C12"/>
    <mergeCell ref="C13:C20"/>
    <mergeCell ref="C21:C30"/>
    <mergeCell ref="C31:C40"/>
    <mergeCell ref="B43:B78"/>
    <mergeCell ref="C43:C50"/>
    <mergeCell ref="C51:C58"/>
    <mergeCell ref="C59:C68"/>
    <mergeCell ref="C69:C78"/>
  </mergeCell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03B8-5A31-4510-9C6E-6876C3506792}">
  <dimension ref="B5:I79"/>
  <sheetViews>
    <sheetView workbookViewId="0">
      <selection activeCell="J16" sqref="J16"/>
    </sheetView>
  </sheetViews>
  <sheetFormatPr defaultRowHeight="15" x14ac:dyDescent="0.25"/>
  <cols>
    <col min="2" max="2" width="14.42578125" customWidth="1"/>
    <col min="3" max="3" width="11.42578125" customWidth="1"/>
    <col min="5" max="5" width="14.42578125" customWidth="1"/>
    <col min="6" max="7" width="17.42578125" style="3" customWidth="1"/>
    <col min="8" max="8" width="18.28515625" style="3" customWidth="1"/>
  </cols>
  <sheetData>
    <row r="5" spans="2:9" x14ac:dyDescent="0.25">
      <c r="E5" s="1" t="s">
        <v>383</v>
      </c>
      <c r="F5" s="11" t="s">
        <v>384</v>
      </c>
      <c r="G5" s="11" t="s">
        <v>385</v>
      </c>
      <c r="H5" s="11" t="s">
        <v>386</v>
      </c>
      <c r="I5" s="11" t="s">
        <v>387</v>
      </c>
    </row>
    <row r="6" spans="2:9" x14ac:dyDescent="0.25">
      <c r="B6" s="170" t="s">
        <v>317</v>
      </c>
      <c r="C6" s="171" t="s">
        <v>388</v>
      </c>
      <c r="D6" s="113">
        <v>1</v>
      </c>
      <c r="E6" s="89">
        <v>133.85499999999999</v>
      </c>
      <c r="F6" s="106">
        <v>9.628444</v>
      </c>
      <c r="G6" s="106">
        <v>94.249201277955265</v>
      </c>
      <c r="H6" s="106">
        <v>0.20249221183800625</v>
      </c>
      <c r="I6" s="39">
        <f>100*((E6*H6)/(F6*G6))</f>
        <v>2.986820581959245</v>
      </c>
    </row>
    <row r="7" spans="2:9" x14ac:dyDescent="0.25">
      <c r="B7" s="170"/>
      <c r="C7" s="171"/>
      <c r="D7" s="113">
        <v>2</v>
      </c>
      <c r="E7" s="89">
        <v>210.75000000000003</v>
      </c>
      <c r="F7" s="106">
        <v>9.7493359999999996</v>
      </c>
      <c r="G7" s="106">
        <v>105.43130990415337</v>
      </c>
      <c r="H7" s="106">
        <v>0.18691588785046728</v>
      </c>
      <c r="I7" s="39">
        <f t="shared" ref="I7:I70" si="0">100*((E7*H7)/(F7*G7))</f>
        <v>3.8323852572934554</v>
      </c>
    </row>
    <row r="8" spans="2:9" x14ac:dyDescent="0.25">
      <c r="B8" s="170"/>
      <c r="C8" s="171"/>
      <c r="D8" s="113">
        <v>3</v>
      </c>
      <c r="E8" s="89">
        <v>201.28600000000003</v>
      </c>
      <c r="F8" s="106">
        <v>8.2684090000000001</v>
      </c>
      <c r="G8" s="106">
        <v>194.88817891373802</v>
      </c>
      <c r="H8" s="106">
        <v>0.23364485981308414</v>
      </c>
      <c r="I8" s="39">
        <f t="shared" si="0"/>
        <v>2.9185178378750267</v>
      </c>
    </row>
    <row r="9" spans="2:9" x14ac:dyDescent="0.25">
      <c r="B9" s="170"/>
      <c r="C9" s="171"/>
      <c r="D9" s="113">
        <v>4</v>
      </c>
      <c r="E9" s="89">
        <v>142.13599999999994</v>
      </c>
      <c r="F9" s="106">
        <v>15.008137999999999</v>
      </c>
      <c r="G9" s="106">
        <v>140.5750798722045</v>
      </c>
      <c r="H9" s="106">
        <v>0.29595015576324041</v>
      </c>
      <c r="I9" s="39">
        <f t="shared" si="0"/>
        <v>1.9938271655265696</v>
      </c>
    </row>
    <row r="10" spans="2:9" x14ac:dyDescent="0.25">
      <c r="B10" s="170"/>
      <c r="C10" s="171"/>
      <c r="D10" s="113">
        <v>5</v>
      </c>
      <c r="E10" s="89">
        <v>91.266999999999982</v>
      </c>
      <c r="F10" s="106">
        <v>11.366266499999998</v>
      </c>
      <c r="G10" s="106">
        <v>94.249201277955294</v>
      </c>
      <c r="H10" s="106">
        <v>0.24922118380062352</v>
      </c>
      <c r="I10" s="39">
        <f t="shared" si="0"/>
        <v>2.1232601891268468</v>
      </c>
    </row>
    <row r="11" spans="2:9" x14ac:dyDescent="0.25">
      <c r="B11" s="170"/>
      <c r="C11" s="171"/>
      <c r="D11" s="113">
        <v>6</v>
      </c>
      <c r="E11" s="89">
        <v>344.42900000000003</v>
      </c>
      <c r="F11" s="106">
        <v>10.746694999999999</v>
      </c>
      <c r="G11" s="106">
        <v>300.3194888178914</v>
      </c>
      <c r="H11" s="106">
        <v>0.17133956386292878</v>
      </c>
      <c r="I11" s="39">
        <f t="shared" si="0"/>
        <v>1.8285166883386199</v>
      </c>
    </row>
    <row r="12" spans="2:9" x14ac:dyDescent="0.25">
      <c r="B12" s="170"/>
      <c r="C12" s="171"/>
      <c r="D12" s="113">
        <v>7</v>
      </c>
      <c r="E12" s="89">
        <v>55.777000000000022</v>
      </c>
      <c r="F12" s="106">
        <v>6.772370500000001</v>
      </c>
      <c r="G12" s="106">
        <v>99.041533546325908</v>
      </c>
      <c r="H12" s="106">
        <v>0.18691588785046753</v>
      </c>
      <c r="I12" s="39">
        <f t="shared" si="0"/>
        <v>1.554330267698123</v>
      </c>
    </row>
    <row r="13" spans="2:9" x14ac:dyDescent="0.25">
      <c r="B13" s="170"/>
      <c r="C13" s="171"/>
      <c r="D13" s="113">
        <v>8</v>
      </c>
      <c r="E13" s="89">
        <v>153.96599999999998</v>
      </c>
      <c r="F13" s="106">
        <v>11.4871585</v>
      </c>
      <c r="G13" s="106">
        <v>177.31629392971246</v>
      </c>
      <c r="H13" s="106">
        <v>0.20249221183800625</v>
      </c>
      <c r="I13" s="39">
        <f t="shared" si="0"/>
        <v>1.5306358894833074</v>
      </c>
    </row>
    <row r="14" spans="2:9" x14ac:dyDescent="0.25">
      <c r="B14" s="170"/>
      <c r="C14" s="171" t="s">
        <v>319</v>
      </c>
      <c r="D14" s="113">
        <v>9</v>
      </c>
      <c r="E14" s="89">
        <v>41.58100000000001</v>
      </c>
      <c r="F14" s="106">
        <v>19.798483499999996</v>
      </c>
      <c r="G14" s="106">
        <v>76.677316293929707</v>
      </c>
      <c r="H14" s="106">
        <v>1.1370716510903431</v>
      </c>
      <c r="I14" s="39">
        <f t="shared" si="0"/>
        <v>3.1144684198935639</v>
      </c>
    </row>
    <row r="15" spans="2:9" x14ac:dyDescent="0.25">
      <c r="B15" s="170"/>
      <c r="C15" s="171"/>
      <c r="D15" s="113">
        <v>10</v>
      </c>
      <c r="E15" s="89">
        <v>62.874999999999957</v>
      </c>
      <c r="F15" s="106">
        <v>7.4674994999999997</v>
      </c>
      <c r="G15" s="106">
        <v>83.067092651757193</v>
      </c>
      <c r="H15" s="106">
        <v>0.20249221183800648</v>
      </c>
      <c r="I15" s="39">
        <f t="shared" si="0"/>
        <v>2.0524950087661078</v>
      </c>
    </row>
    <row r="16" spans="2:9" x14ac:dyDescent="0.25">
      <c r="B16" s="170"/>
      <c r="C16" s="171"/>
      <c r="D16" s="113">
        <v>11</v>
      </c>
      <c r="E16" s="89">
        <v>193.005</v>
      </c>
      <c r="F16" s="106">
        <v>6.9385969999999997</v>
      </c>
      <c r="G16" s="106">
        <v>226.83706070287542</v>
      </c>
      <c r="H16" s="106">
        <v>0.20249221183800625</v>
      </c>
      <c r="I16" s="39">
        <f t="shared" si="0"/>
        <v>2.4830828425834373</v>
      </c>
    </row>
    <row r="17" spans="2:9" x14ac:dyDescent="0.25">
      <c r="B17" s="170"/>
      <c r="C17" s="171"/>
      <c r="D17" s="113">
        <v>12</v>
      </c>
      <c r="E17" s="89">
        <v>99.547999999999988</v>
      </c>
      <c r="F17" s="106">
        <v>16.700626</v>
      </c>
      <c r="G17" s="106">
        <v>83.067092651757193</v>
      </c>
      <c r="H17" s="106">
        <v>0.37383177570093518</v>
      </c>
      <c r="I17" s="39">
        <f t="shared" si="0"/>
        <v>2.6825448512529282</v>
      </c>
    </row>
    <row r="18" spans="2:9" x14ac:dyDescent="0.25">
      <c r="B18" s="170"/>
      <c r="C18" s="171"/>
      <c r="D18" s="113">
        <v>13</v>
      </c>
      <c r="E18" s="89">
        <v>131.48899999999995</v>
      </c>
      <c r="F18" s="106">
        <v>8.2381859999999989</v>
      </c>
      <c r="G18" s="106">
        <v>220.44728434504793</v>
      </c>
      <c r="H18" s="106">
        <v>0.26479750778816208</v>
      </c>
      <c r="I18" s="39">
        <f t="shared" si="0"/>
        <v>1.9171980097172476</v>
      </c>
    </row>
    <row r="19" spans="2:9" x14ac:dyDescent="0.25">
      <c r="B19" s="170"/>
      <c r="C19" s="171"/>
      <c r="D19" s="113">
        <v>14</v>
      </c>
      <c r="E19" s="89">
        <v>157.51499999999999</v>
      </c>
      <c r="F19" s="106">
        <v>13.889886999999998</v>
      </c>
      <c r="G19" s="106">
        <v>274.76038338658145</v>
      </c>
      <c r="H19" s="106">
        <v>0.20249221183800581</v>
      </c>
      <c r="I19" s="39">
        <f t="shared" si="0"/>
        <v>0.83575198255364713</v>
      </c>
    </row>
    <row r="20" spans="2:9" x14ac:dyDescent="0.25">
      <c r="B20" s="170"/>
      <c r="C20" s="171"/>
      <c r="D20" s="113">
        <v>15</v>
      </c>
      <c r="E20" s="89">
        <v>68.789999999999964</v>
      </c>
      <c r="F20" s="106">
        <v>7.7999525000000007</v>
      </c>
      <c r="G20" s="106">
        <v>94.249201277955294</v>
      </c>
      <c r="H20" s="106">
        <v>0.24922118380062311</v>
      </c>
      <c r="I20" s="39">
        <f t="shared" si="0"/>
        <v>2.3320648744849595</v>
      </c>
    </row>
    <row r="21" spans="2:9" x14ac:dyDescent="0.25">
      <c r="B21" s="170"/>
      <c r="C21" s="171"/>
      <c r="D21" s="113">
        <v>16</v>
      </c>
      <c r="E21" s="89">
        <v>139.76999999999995</v>
      </c>
      <c r="F21" s="106">
        <v>8.1626285000000003</v>
      </c>
      <c r="G21" s="106">
        <v>159.7444089456869</v>
      </c>
      <c r="H21" s="106">
        <v>0.18691588785046728</v>
      </c>
      <c r="I21" s="39">
        <f t="shared" si="0"/>
        <v>2.0035698380346769</v>
      </c>
    </row>
    <row r="22" spans="2:9" x14ac:dyDescent="0.25">
      <c r="B22" s="170"/>
      <c r="C22" s="171" t="s">
        <v>320</v>
      </c>
      <c r="D22" s="113">
        <v>17</v>
      </c>
      <c r="E22" s="89">
        <v>36.849000000000004</v>
      </c>
      <c r="F22" s="106">
        <v>6.1376875000000002</v>
      </c>
      <c r="G22" s="106">
        <v>22.364217252396166</v>
      </c>
      <c r="H22" s="106">
        <v>0.14018691588785043</v>
      </c>
      <c r="I22" s="39">
        <f t="shared" si="0"/>
        <v>3.7633508867295906</v>
      </c>
    </row>
    <row r="23" spans="2:9" x14ac:dyDescent="0.25">
      <c r="B23" s="170"/>
      <c r="C23" s="171"/>
      <c r="D23" s="113">
        <v>18</v>
      </c>
      <c r="E23" s="89">
        <v>41.58100000000001</v>
      </c>
      <c r="F23" s="106">
        <v>15.5068175</v>
      </c>
      <c r="G23" s="106">
        <v>28.753993610223645</v>
      </c>
      <c r="H23" s="106">
        <v>0.15576323987538937</v>
      </c>
      <c r="I23" s="39">
        <f t="shared" si="0"/>
        <v>1.4525766344612483</v>
      </c>
    </row>
    <row r="24" spans="2:9" x14ac:dyDescent="0.25">
      <c r="B24" s="170"/>
      <c r="C24" s="171"/>
      <c r="D24" s="113">
        <v>19</v>
      </c>
      <c r="E24" s="89">
        <v>53.411000000000008</v>
      </c>
      <c r="F24" s="106">
        <v>16.050831500000001</v>
      </c>
      <c r="G24" s="106">
        <v>30.351437699680517</v>
      </c>
      <c r="H24" s="106">
        <v>0.38940809968847412</v>
      </c>
      <c r="I24" s="39">
        <f t="shared" si="0"/>
        <v>4.2693217560265673</v>
      </c>
    </row>
    <row r="25" spans="2:9" x14ac:dyDescent="0.25">
      <c r="B25" s="170"/>
      <c r="C25" s="171"/>
      <c r="D25" s="113">
        <v>20</v>
      </c>
      <c r="E25" s="89">
        <v>41.58100000000001</v>
      </c>
      <c r="F25" s="106">
        <v>8.2835204999999998</v>
      </c>
      <c r="G25" s="106">
        <v>27.156549520766774</v>
      </c>
      <c r="H25" s="106">
        <v>0.23364485981308414</v>
      </c>
      <c r="I25" s="39">
        <f t="shared" si="0"/>
        <v>4.31878536593213</v>
      </c>
    </row>
    <row r="26" spans="2:9" x14ac:dyDescent="0.25">
      <c r="B26" s="170"/>
      <c r="C26" s="171"/>
      <c r="D26" s="113">
        <v>21</v>
      </c>
      <c r="E26" s="89">
        <v>36.849000000000004</v>
      </c>
      <c r="F26" s="106">
        <v>7.5581684999999998</v>
      </c>
      <c r="G26" s="106">
        <v>25.559105431309902</v>
      </c>
      <c r="H26" s="106">
        <v>0.20249221183800625</v>
      </c>
      <c r="I26" s="39">
        <f t="shared" si="0"/>
        <v>3.8625295200283163</v>
      </c>
    </row>
    <row r="27" spans="2:9" x14ac:dyDescent="0.25">
      <c r="B27" s="170"/>
      <c r="C27" s="171"/>
      <c r="D27" s="113">
        <v>22</v>
      </c>
      <c r="E27" s="89">
        <v>34.483000000000004</v>
      </c>
      <c r="F27" s="106">
        <v>8.2381859999999989</v>
      </c>
      <c r="G27" s="106">
        <v>25.559105431309902</v>
      </c>
      <c r="H27" s="106">
        <v>0.14018691588785043</v>
      </c>
      <c r="I27" s="39">
        <f t="shared" si="0"/>
        <v>2.2958064988996272</v>
      </c>
    </row>
    <row r="28" spans="2:9" x14ac:dyDescent="0.25">
      <c r="B28" s="170"/>
      <c r="C28" s="171"/>
      <c r="D28" s="113">
        <v>23</v>
      </c>
      <c r="E28" s="89">
        <v>46.313000000000017</v>
      </c>
      <c r="F28" s="106">
        <v>13.043643000000001</v>
      </c>
      <c r="G28" s="106">
        <v>340.25559105431307</v>
      </c>
      <c r="H28" s="106">
        <v>0.24922118380062311</v>
      </c>
      <c r="I28" s="39">
        <f t="shared" si="0"/>
        <v>0.26006606983782005</v>
      </c>
    </row>
    <row r="29" spans="2:9" x14ac:dyDescent="0.25">
      <c r="B29" s="170"/>
      <c r="C29" s="171"/>
      <c r="D29" s="113">
        <v>24</v>
      </c>
      <c r="E29" s="89">
        <v>36.849000000000004</v>
      </c>
      <c r="F29" s="106">
        <v>5.9865725000000003</v>
      </c>
      <c r="G29" s="106">
        <v>31.948881789137364</v>
      </c>
      <c r="H29" s="106">
        <v>0.15576323987538937</v>
      </c>
      <c r="I29" s="39">
        <f t="shared" si="0"/>
        <v>3.0009362502344281</v>
      </c>
    </row>
    <row r="30" spans="2:9" x14ac:dyDescent="0.25">
      <c r="B30" s="170"/>
      <c r="C30" s="171"/>
      <c r="D30" s="113">
        <v>25</v>
      </c>
      <c r="E30" s="89">
        <v>3.724999999999973</v>
      </c>
      <c r="F30" s="106">
        <v>8.8426460000000002</v>
      </c>
      <c r="G30" s="106">
        <v>31.948881789137364</v>
      </c>
      <c r="H30" s="106">
        <v>0.12461059190031147</v>
      </c>
      <c r="I30" s="39">
        <f t="shared" si="0"/>
        <v>0.16430218326207979</v>
      </c>
    </row>
    <row r="31" spans="2:9" x14ac:dyDescent="0.25">
      <c r="B31" s="170"/>
      <c r="C31" s="171"/>
      <c r="D31" s="113">
        <v>26</v>
      </c>
      <c r="E31" s="89">
        <v>22.652999999999992</v>
      </c>
      <c r="F31" s="106">
        <v>9.3111024999999987</v>
      </c>
      <c r="G31" s="106">
        <v>25.559105431309902</v>
      </c>
      <c r="H31" s="106">
        <v>0.24922118380062333</v>
      </c>
      <c r="I31" s="39">
        <f t="shared" si="0"/>
        <v>2.3722689394018026</v>
      </c>
    </row>
    <row r="32" spans="2:9" x14ac:dyDescent="0.25">
      <c r="B32" s="170"/>
      <c r="C32" s="171" t="s">
        <v>321</v>
      </c>
      <c r="D32" s="113">
        <v>27</v>
      </c>
      <c r="E32" s="89">
        <v>12.005999999999981</v>
      </c>
      <c r="F32" s="106">
        <v>8.5253045000000007</v>
      </c>
      <c r="G32" s="106">
        <v>33.546325878594253</v>
      </c>
      <c r="H32" s="106">
        <v>0.23364485981308414</v>
      </c>
      <c r="I32" s="39">
        <f t="shared" si="0"/>
        <v>0.98084347827014384</v>
      </c>
    </row>
    <row r="33" spans="2:9" x14ac:dyDescent="0.25">
      <c r="B33" s="170"/>
      <c r="C33" s="171"/>
      <c r="D33" s="113">
        <v>28</v>
      </c>
      <c r="E33" s="89">
        <v>2.5419999999999718</v>
      </c>
      <c r="F33" s="106">
        <v>8.5555275000000002</v>
      </c>
      <c r="G33" s="106">
        <v>27.156549520766774</v>
      </c>
      <c r="H33" s="106">
        <v>0.18691588785046753</v>
      </c>
      <c r="I33" s="39">
        <f t="shared" si="0"/>
        <v>0.2045033301290704</v>
      </c>
    </row>
    <row r="34" spans="2:9" x14ac:dyDescent="0.25">
      <c r="B34" s="170"/>
      <c r="C34" s="171"/>
      <c r="F34"/>
      <c r="G34"/>
      <c r="H34"/>
    </row>
    <row r="35" spans="2:9" x14ac:dyDescent="0.25">
      <c r="B35" s="170"/>
      <c r="C35" s="171"/>
      <c r="D35" s="113">
        <v>30</v>
      </c>
      <c r="E35" s="89">
        <v>19.103999999999985</v>
      </c>
      <c r="F35" s="106">
        <v>8.3439665000000005</v>
      </c>
      <c r="G35" s="106">
        <v>38.338658146964868</v>
      </c>
      <c r="H35" s="106">
        <v>0.15576323987538918</v>
      </c>
      <c r="I35" s="39">
        <f t="shared" si="0"/>
        <v>0.93020746640038432</v>
      </c>
    </row>
    <row r="36" spans="2:9" x14ac:dyDescent="0.25">
      <c r="B36" s="170"/>
      <c r="C36" s="171"/>
      <c r="D36" s="113">
        <v>31</v>
      </c>
      <c r="E36" s="89">
        <v>17.920999999999985</v>
      </c>
      <c r="F36" s="106">
        <v>13.814329499999999</v>
      </c>
      <c r="G36" s="106">
        <v>68.690095846645377</v>
      </c>
      <c r="H36" s="106">
        <v>0.29595015576323996</v>
      </c>
      <c r="I36" s="39">
        <f t="shared" si="0"/>
        <v>0.55892930398191165</v>
      </c>
    </row>
    <row r="37" spans="2:9" x14ac:dyDescent="0.25">
      <c r="B37" s="170"/>
      <c r="C37" s="171"/>
      <c r="D37" s="113">
        <v>32</v>
      </c>
      <c r="E37" s="89">
        <v>4.9079999999999737</v>
      </c>
      <c r="F37" s="106">
        <v>11.396489499999999</v>
      </c>
      <c r="G37" s="106">
        <v>33.546325878594253</v>
      </c>
      <c r="H37" s="106">
        <v>0.24922118380062311</v>
      </c>
      <c r="I37" s="39">
        <f t="shared" si="0"/>
        <v>0.31994361859392073</v>
      </c>
    </row>
    <row r="38" spans="2:9" x14ac:dyDescent="0.25">
      <c r="B38" s="170"/>
      <c r="C38" s="171"/>
      <c r="D38" s="113">
        <v>33</v>
      </c>
      <c r="E38" s="89">
        <v>16.737999999999982</v>
      </c>
      <c r="F38" s="106">
        <v>7.7395065000000001</v>
      </c>
      <c r="G38" s="106">
        <v>35.143769968051132</v>
      </c>
      <c r="H38" s="106">
        <v>0.24922118380062291</v>
      </c>
      <c r="I38" s="39">
        <f t="shared" si="0"/>
        <v>1.5336522679324918</v>
      </c>
    </row>
    <row r="39" spans="2:9" x14ac:dyDescent="0.25">
      <c r="B39" s="170"/>
      <c r="C39" s="171"/>
      <c r="D39" s="113">
        <v>34</v>
      </c>
      <c r="E39" s="89">
        <v>22.652999999999992</v>
      </c>
      <c r="F39" s="106">
        <v>6.6817015000000008</v>
      </c>
      <c r="G39" s="106">
        <v>39.936102236421732</v>
      </c>
      <c r="H39" s="106">
        <v>0.18691588785046728</v>
      </c>
      <c r="I39" s="39">
        <f t="shared" si="0"/>
        <v>1.5867890598108114</v>
      </c>
    </row>
    <row r="40" spans="2:9" x14ac:dyDescent="0.25">
      <c r="B40" s="170"/>
      <c r="C40" s="171"/>
      <c r="D40" s="113">
        <v>35</v>
      </c>
      <c r="E40" s="89">
        <v>14.371999999999982</v>
      </c>
      <c r="F40" s="106">
        <v>7.4221649999999997</v>
      </c>
      <c r="G40" s="106">
        <v>30.351437699680517</v>
      </c>
      <c r="H40" s="106">
        <v>0.29595015576323952</v>
      </c>
      <c r="I40" s="39">
        <f t="shared" si="0"/>
        <v>1.8881039851096963</v>
      </c>
    </row>
    <row r="41" spans="2:9" x14ac:dyDescent="0.25">
      <c r="B41" s="170"/>
      <c r="C41" s="171"/>
      <c r="D41" s="113">
        <v>36</v>
      </c>
      <c r="E41" s="89">
        <v>4.9079999999999737</v>
      </c>
      <c r="F41" s="106">
        <v>5.9563495</v>
      </c>
      <c r="G41" s="106">
        <v>25.559105431309902</v>
      </c>
      <c r="H41" s="106">
        <v>0.18691588785046728</v>
      </c>
      <c r="I41" s="39">
        <f t="shared" si="0"/>
        <v>0.60259420341989189</v>
      </c>
    </row>
    <row r="42" spans="2:9" x14ac:dyDescent="0.25">
      <c r="B42" s="100"/>
      <c r="C42" s="91"/>
      <c r="D42" s="113"/>
      <c r="I42" s="39"/>
    </row>
    <row r="43" spans="2:9" x14ac:dyDescent="0.25">
      <c r="E43" s="1" t="s">
        <v>383</v>
      </c>
      <c r="F43" s="11" t="s">
        <v>384</v>
      </c>
      <c r="G43" s="11" t="s">
        <v>385</v>
      </c>
      <c r="H43" s="11" t="s">
        <v>386</v>
      </c>
      <c r="I43" s="39"/>
    </row>
    <row r="44" spans="2:9" x14ac:dyDescent="0.25">
      <c r="B44" s="170" t="s">
        <v>327</v>
      </c>
      <c r="C44" s="171" t="s">
        <v>388</v>
      </c>
      <c r="D44" s="113">
        <v>37</v>
      </c>
      <c r="E44" s="106">
        <v>62.188750000000034</v>
      </c>
      <c r="F44" s="106">
        <v>12.455486000000001</v>
      </c>
      <c r="G44" s="106">
        <v>75.153374233128829</v>
      </c>
      <c r="H44" s="106">
        <v>0.15734265734265759</v>
      </c>
      <c r="I44" s="39">
        <f t="shared" si="0"/>
        <v>1.0453197260514846</v>
      </c>
    </row>
    <row r="45" spans="2:9" x14ac:dyDescent="0.25">
      <c r="B45" s="170"/>
      <c r="C45" s="171"/>
      <c r="D45" s="113">
        <v>38</v>
      </c>
      <c r="E45" s="106">
        <v>95.151750000000007</v>
      </c>
      <c r="F45" s="106">
        <v>24.261866999999995</v>
      </c>
      <c r="G45" s="106">
        <v>79.754601226993856</v>
      </c>
      <c r="H45" s="106">
        <v>0.29720279720279663</v>
      </c>
      <c r="I45" s="39">
        <f t="shared" si="0"/>
        <v>1.4614693344386633</v>
      </c>
    </row>
    <row r="46" spans="2:9" x14ac:dyDescent="0.25">
      <c r="B46" s="170"/>
      <c r="C46" s="171"/>
      <c r="D46" s="113">
        <v>39</v>
      </c>
      <c r="E46" s="106">
        <v>227.00375000000008</v>
      </c>
      <c r="F46" s="106">
        <v>14.068501999999999</v>
      </c>
      <c r="G46" s="106">
        <v>110.42944785276072</v>
      </c>
      <c r="H46" s="106">
        <v>0.22727272727272763</v>
      </c>
      <c r="I46" s="39">
        <f t="shared" si="0"/>
        <v>3.3208372948120188</v>
      </c>
    </row>
    <row r="47" spans="2:9" x14ac:dyDescent="0.25">
      <c r="B47" s="170"/>
      <c r="C47" s="171"/>
      <c r="D47" s="113">
        <v>40</v>
      </c>
      <c r="E47" s="106">
        <v>53.948000000000029</v>
      </c>
      <c r="F47" s="106">
        <v>36.583517000000001</v>
      </c>
      <c r="G47" s="106">
        <v>30.674846625766875</v>
      </c>
      <c r="H47" s="106">
        <v>0.22727272727272763</v>
      </c>
      <c r="I47" s="39">
        <f t="shared" si="0"/>
        <v>1.0925839534882256</v>
      </c>
    </row>
    <row r="48" spans="2:9" x14ac:dyDescent="0.25">
      <c r="B48" s="170"/>
      <c r="C48" s="171"/>
      <c r="D48" s="113">
        <v>41</v>
      </c>
      <c r="E48" s="106">
        <v>88.088249999999988</v>
      </c>
      <c r="F48" s="106">
        <v>9.9239470000000019</v>
      </c>
      <c r="G48" s="106">
        <v>70.552147239263803</v>
      </c>
      <c r="H48" s="106">
        <v>0.17482517482517512</v>
      </c>
      <c r="I48" s="39">
        <f t="shared" si="0"/>
        <v>2.1995167886202127</v>
      </c>
    </row>
    <row r="49" spans="2:9" x14ac:dyDescent="0.25">
      <c r="B49" s="170"/>
      <c r="C49" s="171"/>
      <c r="D49" s="113">
        <v>42</v>
      </c>
      <c r="E49" s="106">
        <v>203.45875000000007</v>
      </c>
      <c r="F49" s="106">
        <v>13.239591000000001</v>
      </c>
      <c r="G49" s="106">
        <v>136.50306748466258</v>
      </c>
      <c r="H49" s="106">
        <v>0.20979020979021012</v>
      </c>
      <c r="I49" s="39">
        <f t="shared" si="0"/>
        <v>2.3618081086817271</v>
      </c>
    </row>
    <row r="50" spans="2:9" x14ac:dyDescent="0.25">
      <c r="B50" s="170"/>
      <c r="C50" s="171"/>
      <c r="F50"/>
      <c r="G50"/>
      <c r="H50"/>
    </row>
    <row r="51" spans="2:9" x14ac:dyDescent="0.25">
      <c r="B51" s="170"/>
      <c r="C51" s="171"/>
      <c r="D51" s="113">
        <v>44</v>
      </c>
      <c r="E51" s="106">
        <v>224.64925000000008</v>
      </c>
      <c r="F51" s="106">
        <v>17.697787999999996</v>
      </c>
      <c r="G51" s="106">
        <v>171.7791411042945</v>
      </c>
      <c r="H51" s="106">
        <v>0.2447552447552451</v>
      </c>
      <c r="I51" s="39">
        <f t="shared" si="0"/>
        <v>1.8086209808005103</v>
      </c>
    </row>
    <row r="52" spans="2:9" x14ac:dyDescent="0.25">
      <c r="B52" s="170"/>
      <c r="C52" s="171" t="s">
        <v>319</v>
      </c>
      <c r="F52"/>
      <c r="G52"/>
      <c r="H52"/>
    </row>
    <row r="53" spans="2:9" x14ac:dyDescent="0.25">
      <c r="B53" s="170"/>
      <c r="C53" s="171"/>
      <c r="D53" s="113">
        <v>46</v>
      </c>
      <c r="E53" s="106">
        <v>102.21525</v>
      </c>
      <c r="F53" s="106">
        <v>7.7060499999999994</v>
      </c>
      <c r="G53" s="106">
        <v>108.89570552147238</v>
      </c>
      <c r="H53" s="106">
        <v>0.1923076923076924</v>
      </c>
      <c r="I53" s="39">
        <f t="shared" si="0"/>
        <v>2.3424470141838101</v>
      </c>
    </row>
    <row r="54" spans="2:9" x14ac:dyDescent="0.25">
      <c r="B54" s="170"/>
      <c r="C54" s="171"/>
      <c r="D54" s="113">
        <v>47</v>
      </c>
      <c r="E54" s="106">
        <v>71.606750000000048</v>
      </c>
      <c r="F54" s="106">
        <v>10.573634000000002</v>
      </c>
      <c r="G54" s="106">
        <v>62.883435582822067</v>
      </c>
      <c r="H54" s="106">
        <v>8.7412587412587506E-2</v>
      </c>
      <c r="I54" s="39">
        <f t="shared" si="0"/>
        <v>0.94138528183992587</v>
      </c>
    </row>
    <row r="55" spans="2:9" x14ac:dyDescent="0.25">
      <c r="B55" s="170"/>
      <c r="C55" s="171"/>
      <c r="D55" s="113">
        <v>48</v>
      </c>
      <c r="E55" s="106">
        <v>329.42450000000008</v>
      </c>
      <c r="F55" s="106">
        <v>9.0054239999999997</v>
      </c>
      <c r="G55" s="106">
        <v>210.12269938650309</v>
      </c>
      <c r="H55" s="106">
        <v>0.10489510489510501</v>
      </c>
      <c r="I55" s="39">
        <f t="shared" si="0"/>
        <v>1.8261396248326074</v>
      </c>
    </row>
    <row r="56" spans="2:9" x14ac:dyDescent="0.25">
      <c r="B56" s="170"/>
      <c r="C56" s="171"/>
      <c r="F56"/>
      <c r="G56"/>
      <c r="H56"/>
    </row>
    <row r="57" spans="2:9" x14ac:dyDescent="0.25">
      <c r="B57" s="170"/>
      <c r="C57" s="171"/>
      <c r="F57"/>
      <c r="G57"/>
      <c r="H57"/>
    </row>
    <row r="58" spans="2:9" x14ac:dyDescent="0.25">
      <c r="B58" s="170"/>
      <c r="C58" s="171"/>
      <c r="D58" s="113">
        <v>51</v>
      </c>
      <c r="E58" s="106">
        <v>65.720500000000044</v>
      </c>
      <c r="F58" s="106">
        <v>12.746725000000001</v>
      </c>
      <c r="G58" s="106">
        <v>52.147239263803684</v>
      </c>
      <c r="H58" s="106">
        <v>0.13986013986013987</v>
      </c>
      <c r="I58" s="39">
        <f t="shared" si="0"/>
        <v>1.3828175393458662</v>
      </c>
    </row>
    <row r="59" spans="2:9" x14ac:dyDescent="0.25">
      <c r="B59" s="170"/>
      <c r="C59" s="171"/>
      <c r="F59"/>
      <c r="G59"/>
      <c r="H59"/>
    </row>
    <row r="60" spans="2:9" x14ac:dyDescent="0.25">
      <c r="B60" s="170"/>
      <c r="C60" s="171" t="s">
        <v>320</v>
      </c>
      <c r="D60" s="113">
        <v>53</v>
      </c>
      <c r="E60" s="106">
        <v>9.212500000000011</v>
      </c>
      <c r="F60" s="106">
        <v>13.956486999999999</v>
      </c>
      <c r="G60" s="106"/>
      <c r="H60" s="106">
        <v>0.36713286713286764</v>
      </c>
      <c r="I60" s="39"/>
    </row>
    <row r="61" spans="2:9" x14ac:dyDescent="0.25">
      <c r="B61" s="170"/>
      <c r="C61" s="171"/>
      <c r="D61" s="113">
        <v>54</v>
      </c>
      <c r="E61" s="106">
        <v>105.74699999999999</v>
      </c>
      <c r="F61" s="106">
        <v>11.492157000000001</v>
      </c>
      <c r="G61" s="106">
        <v>30.674846625766854</v>
      </c>
      <c r="H61" s="106">
        <v>0.26223776223776213</v>
      </c>
      <c r="I61" s="39">
        <f t="shared" si="0"/>
        <v>7.8664599393606132</v>
      </c>
    </row>
    <row r="62" spans="2:9" x14ac:dyDescent="0.25">
      <c r="B62" s="170"/>
      <c r="C62" s="171"/>
      <c r="D62" s="113">
        <v>55</v>
      </c>
      <c r="E62" s="106">
        <v>8.0352500000000102</v>
      </c>
      <c r="F62" s="106">
        <v>25.561240999999999</v>
      </c>
      <c r="G62" s="106">
        <v>65.950920245398763</v>
      </c>
      <c r="H62" s="106">
        <v>0.54195804195804265</v>
      </c>
      <c r="I62" s="39">
        <f t="shared" si="0"/>
        <v>0.258322517003924</v>
      </c>
    </row>
    <row r="63" spans="2:9" x14ac:dyDescent="0.25">
      <c r="B63" s="170"/>
      <c r="C63" s="171"/>
      <c r="D63" s="113">
        <v>56</v>
      </c>
      <c r="E63" s="106">
        <v>115.16500000000001</v>
      </c>
      <c r="F63" s="106">
        <v>34.791277000000001</v>
      </c>
      <c r="G63" s="106">
        <v>29.141104294478534</v>
      </c>
      <c r="H63" s="106">
        <v>0.22727272727272763</v>
      </c>
      <c r="I63" s="39">
        <f t="shared" si="0"/>
        <v>2.5816149095601588</v>
      </c>
    </row>
    <row r="64" spans="2:9" x14ac:dyDescent="0.25">
      <c r="B64" s="170"/>
      <c r="C64" s="171"/>
      <c r="D64" s="113">
        <v>57</v>
      </c>
      <c r="E64" s="106">
        <v>77.493000000000052</v>
      </c>
      <c r="F64" s="106">
        <v>12.209053000000001</v>
      </c>
      <c r="G64" s="106">
        <v>98.159509202453989</v>
      </c>
      <c r="H64" s="106">
        <v>0.20979020979020963</v>
      </c>
      <c r="I64" s="39">
        <f t="shared" si="0"/>
        <v>1.3565422798073763</v>
      </c>
    </row>
    <row r="65" spans="2:9" x14ac:dyDescent="0.25">
      <c r="B65" s="170"/>
      <c r="C65" s="171"/>
      <c r="D65" s="113">
        <v>58</v>
      </c>
      <c r="E65" s="106">
        <v>6.8580000000000103</v>
      </c>
      <c r="F65" s="106">
        <v>12.119441</v>
      </c>
      <c r="G65" s="106">
        <v>58.282208588957069</v>
      </c>
      <c r="H65" s="106">
        <v>0.17482517482517512</v>
      </c>
      <c r="I65" s="39">
        <f t="shared" si="0"/>
        <v>0.16973947802154066</v>
      </c>
    </row>
    <row r="66" spans="2:9" x14ac:dyDescent="0.25">
      <c r="B66" s="170"/>
      <c r="C66" s="171"/>
      <c r="D66" s="113">
        <v>59</v>
      </c>
      <c r="E66" s="106">
        <v>9.212500000000011</v>
      </c>
      <c r="F66" s="106">
        <v>24.463493999999994</v>
      </c>
      <c r="G66" s="106">
        <v>33.742331288343564</v>
      </c>
      <c r="H66" s="106">
        <v>0.45454545454545414</v>
      </c>
      <c r="I66" s="39">
        <f t="shared" si="0"/>
        <v>0.5072957801010467</v>
      </c>
    </row>
    <row r="67" spans="2:9" x14ac:dyDescent="0.25">
      <c r="B67" s="170"/>
      <c r="C67" s="171"/>
      <c r="F67"/>
      <c r="G67"/>
      <c r="H67"/>
    </row>
    <row r="68" spans="2:9" x14ac:dyDescent="0.25">
      <c r="B68" s="170"/>
      <c r="C68" s="171"/>
      <c r="D68" s="113">
        <v>61</v>
      </c>
      <c r="E68" s="106">
        <v>6.8580000000000103</v>
      </c>
      <c r="F68" s="106">
        <v>14.785398000000001</v>
      </c>
      <c r="G68" s="106">
        <v>30.674846625766875</v>
      </c>
      <c r="H68" s="106">
        <v>0.36713286713286764</v>
      </c>
      <c r="I68" s="39">
        <f t="shared" si="0"/>
        <v>0.55514358701192235</v>
      </c>
    </row>
    <row r="69" spans="2:9" x14ac:dyDescent="0.25">
      <c r="B69" s="170"/>
      <c r="C69" s="171"/>
      <c r="D69" s="113">
        <v>62</v>
      </c>
      <c r="E69" s="106">
        <v>2.1490000000000049</v>
      </c>
      <c r="F69" s="106">
        <v>12.993157999999999</v>
      </c>
      <c r="G69" s="106">
        <v>32.208588957055206</v>
      </c>
      <c r="H69" s="106">
        <v>0.20979020979020963</v>
      </c>
      <c r="I69" s="39">
        <f t="shared" si="0"/>
        <v>0.10772964138112186</v>
      </c>
    </row>
    <row r="70" spans="2:9" x14ac:dyDescent="0.25">
      <c r="B70" s="170"/>
      <c r="C70" s="171" t="s">
        <v>321</v>
      </c>
      <c r="D70" s="113">
        <v>63</v>
      </c>
      <c r="E70" s="106">
        <v>79.847499999999982</v>
      </c>
      <c r="F70" s="106">
        <v>10.372006999999998</v>
      </c>
      <c r="G70" s="106">
        <v>27.607361963190186</v>
      </c>
      <c r="H70" s="106">
        <v>0.22727272727272738</v>
      </c>
      <c r="I70" s="39">
        <f t="shared" si="0"/>
        <v>6.3375432478297551</v>
      </c>
    </row>
    <row r="71" spans="2:9" x14ac:dyDescent="0.25">
      <c r="B71" s="170"/>
      <c r="C71" s="171"/>
      <c r="D71" s="113">
        <v>64</v>
      </c>
      <c r="E71" s="106">
        <v>117.51950000000002</v>
      </c>
      <c r="F71" s="106">
        <v>7.885273999999999</v>
      </c>
      <c r="G71" s="106">
        <v>72.085889570552141</v>
      </c>
      <c r="H71" s="106">
        <v>0.24475524475524463</v>
      </c>
      <c r="I71" s="39">
        <f t="shared" ref="I71:I79" si="1">100*((E71*H71)/(F71*G71))</f>
        <v>5.060283990746985</v>
      </c>
    </row>
    <row r="72" spans="2:9" x14ac:dyDescent="0.25">
      <c r="B72" s="170"/>
      <c r="C72" s="171"/>
      <c r="D72" s="113">
        <v>65</v>
      </c>
      <c r="E72" s="106">
        <v>85.733749999999986</v>
      </c>
      <c r="F72" s="106">
        <v>17.451355</v>
      </c>
      <c r="G72" s="106">
        <v>90.490797546012288</v>
      </c>
      <c r="H72" s="106">
        <v>0.22727272727272713</v>
      </c>
      <c r="I72" s="39">
        <f t="shared" si="1"/>
        <v>1.2338591176605147</v>
      </c>
    </row>
    <row r="73" spans="2:9" x14ac:dyDescent="0.25">
      <c r="B73" s="170"/>
      <c r="C73" s="171"/>
      <c r="D73" s="113">
        <v>66</v>
      </c>
      <c r="E73" s="106">
        <v>71.606750000000048</v>
      </c>
      <c r="F73" s="106">
        <v>9.9911560000000019</v>
      </c>
      <c r="G73" s="106">
        <v>84.355828220858911</v>
      </c>
      <c r="H73" s="106">
        <v>0.26223776223776213</v>
      </c>
      <c r="I73" s="39">
        <f t="shared" si="1"/>
        <v>2.2280162776849863</v>
      </c>
    </row>
    <row r="74" spans="2:9" x14ac:dyDescent="0.25">
      <c r="B74" s="170"/>
      <c r="C74" s="171"/>
      <c r="D74" s="113">
        <v>67</v>
      </c>
      <c r="E74" s="106">
        <v>216.40850000000006</v>
      </c>
      <c r="F74" s="106">
        <v>10.125574000000002</v>
      </c>
      <c r="G74" s="106">
        <v>65.950920245398763</v>
      </c>
      <c r="H74" s="106">
        <v>0.31468531468531485</v>
      </c>
      <c r="I74" s="39">
        <f t="shared" si="1"/>
        <v>10.19788897178069</v>
      </c>
    </row>
    <row r="75" spans="2:9" x14ac:dyDescent="0.25">
      <c r="B75" s="170"/>
      <c r="C75" s="171"/>
      <c r="D75" s="113">
        <v>68</v>
      </c>
      <c r="E75" s="106">
        <v>23.33949999999999</v>
      </c>
      <c r="F75" s="106">
        <v>14.404546999999999</v>
      </c>
      <c r="G75" s="106">
        <v>125.76687116564416</v>
      </c>
      <c r="H75" s="106">
        <v>0.22727272727272713</v>
      </c>
      <c r="I75" s="39">
        <f t="shared" si="1"/>
        <v>0.29280130623917489</v>
      </c>
    </row>
    <row r="76" spans="2:9" x14ac:dyDescent="0.25">
      <c r="B76" s="170"/>
      <c r="C76" s="171"/>
      <c r="F76"/>
      <c r="G76"/>
      <c r="H76"/>
    </row>
    <row r="77" spans="2:9" x14ac:dyDescent="0.25">
      <c r="B77" s="170"/>
      <c r="C77" s="171"/>
      <c r="D77" s="113">
        <v>70</v>
      </c>
      <c r="E77" s="106">
        <v>82.201999999999984</v>
      </c>
      <c r="F77" s="106">
        <v>13.97889</v>
      </c>
      <c r="G77" s="106">
        <v>64.417177914110439</v>
      </c>
      <c r="H77" s="106">
        <v>0.26223776223776241</v>
      </c>
      <c r="I77" s="39">
        <f t="shared" si="1"/>
        <v>2.3938847182323602</v>
      </c>
    </row>
    <row r="78" spans="2:9" x14ac:dyDescent="0.25">
      <c r="B78" s="170"/>
      <c r="C78" s="171"/>
      <c r="D78" s="113">
        <v>71</v>
      </c>
      <c r="E78" s="106">
        <v>222.29475000000005</v>
      </c>
      <c r="F78" s="106">
        <v>12.074635000000001</v>
      </c>
      <c r="G78" s="106">
        <v>145.70552147239263</v>
      </c>
      <c r="H78" s="106">
        <v>0.26223776223776213</v>
      </c>
      <c r="I78" s="39">
        <f t="shared" si="1"/>
        <v>3.3134041753665926</v>
      </c>
    </row>
    <row r="79" spans="2:9" x14ac:dyDescent="0.25">
      <c r="B79" s="170"/>
      <c r="C79" s="171"/>
      <c r="D79" s="113">
        <v>72</v>
      </c>
      <c r="E79" s="106">
        <v>65.720500000000044</v>
      </c>
      <c r="F79" s="106">
        <v>17.563369999999999</v>
      </c>
      <c r="G79" s="106">
        <v>67.484662576687114</v>
      </c>
      <c r="H79" s="106">
        <v>0.33216783216783208</v>
      </c>
      <c r="I79" s="39">
        <f t="shared" si="1"/>
        <v>1.8418128547600241</v>
      </c>
    </row>
  </sheetData>
  <mergeCells count="10">
    <mergeCell ref="B6:B41"/>
    <mergeCell ref="C6:C13"/>
    <mergeCell ref="C14:C21"/>
    <mergeCell ref="C22:C31"/>
    <mergeCell ref="C32:C41"/>
    <mergeCell ref="B44:B79"/>
    <mergeCell ref="C44:C51"/>
    <mergeCell ref="C52:C59"/>
    <mergeCell ref="C60:C69"/>
    <mergeCell ref="C70:C79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9963-1110-494D-B7B9-CBBFB26B8CDF}">
  <dimension ref="B3:P6"/>
  <sheetViews>
    <sheetView workbookViewId="0">
      <selection activeCell="I30" sqref="I30"/>
    </sheetView>
  </sheetViews>
  <sheetFormatPr defaultRowHeight="15" x14ac:dyDescent="0.25"/>
  <cols>
    <col min="2" max="2" width="22.42578125" customWidth="1"/>
  </cols>
  <sheetData>
    <row r="3" spans="2:16" x14ac:dyDescent="0.25">
      <c r="C3" s="157" t="s">
        <v>389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</row>
    <row r="4" spans="2:16" s="1" customFormat="1" x14ac:dyDescent="0.25">
      <c r="B4" s="7"/>
      <c r="C4" s="157" t="s">
        <v>390</v>
      </c>
      <c r="D4" s="157"/>
      <c r="E4" s="157"/>
      <c r="F4" s="157"/>
      <c r="G4" s="157"/>
      <c r="H4" s="157"/>
      <c r="I4" s="157"/>
      <c r="J4" s="157" t="s">
        <v>391</v>
      </c>
      <c r="K4" s="157"/>
      <c r="L4" s="157"/>
      <c r="M4" s="157"/>
      <c r="N4" s="157"/>
      <c r="O4" s="157"/>
      <c r="P4" s="157"/>
    </row>
    <row r="5" spans="2:16" x14ac:dyDescent="0.25">
      <c r="B5" s="8" t="s">
        <v>392</v>
      </c>
      <c r="C5" s="123">
        <v>8745</v>
      </c>
      <c r="D5" s="123">
        <v>4730</v>
      </c>
      <c r="E5" s="123">
        <v>9459</v>
      </c>
      <c r="F5" s="123">
        <v>5810</v>
      </c>
      <c r="G5" s="123">
        <v>6350</v>
      </c>
      <c r="H5" s="123">
        <v>8300</v>
      </c>
      <c r="I5" s="123">
        <v>6600</v>
      </c>
      <c r="J5" s="123">
        <v>6290</v>
      </c>
      <c r="K5" s="123">
        <v>7635</v>
      </c>
      <c r="L5" s="123">
        <v>6350</v>
      </c>
      <c r="M5" s="123">
        <v>8930</v>
      </c>
      <c r="N5" s="123">
        <v>6362</v>
      </c>
      <c r="O5" s="123">
        <v>3259</v>
      </c>
      <c r="P5" s="123">
        <v>6350</v>
      </c>
    </row>
    <row r="6" spans="2:16" x14ac:dyDescent="0.25">
      <c r="B6" s="8" t="s">
        <v>393</v>
      </c>
      <c r="C6" s="123">
        <v>4998</v>
      </c>
      <c r="D6" s="123">
        <v>3080</v>
      </c>
      <c r="E6" s="123">
        <v>6711</v>
      </c>
      <c r="F6" s="123">
        <v>4474</v>
      </c>
      <c r="G6" s="123">
        <v>4879</v>
      </c>
      <c r="H6" s="123">
        <v>4835</v>
      </c>
      <c r="I6" s="123">
        <v>5646</v>
      </c>
      <c r="J6" s="123">
        <v>4115</v>
      </c>
      <c r="K6" s="123">
        <v>4050</v>
      </c>
      <c r="L6" s="123">
        <v>4596</v>
      </c>
      <c r="M6" s="123">
        <v>5416</v>
      </c>
      <c r="N6" s="123">
        <v>5060</v>
      </c>
      <c r="O6" s="123">
        <v>1886</v>
      </c>
      <c r="P6" s="123">
        <v>5515</v>
      </c>
    </row>
  </sheetData>
  <mergeCells count="3">
    <mergeCell ref="C4:I4"/>
    <mergeCell ref="J4:P4"/>
    <mergeCell ref="C3:P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A247-C896-40B2-9259-A2853B99AFDC}">
  <dimension ref="B3:D163"/>
  <sheetViews>
    <sheetView topLeftCell="A10" workbookViewId="0">
      <selection activeCell="B3" sqref="B3:D3"/>
    </sheetView>
  </sheetViews>
  <sheetFormatPr defaultRowHeight="15" x14ac:dyDescent="0.25"/>
  <cols>
    <col min="3" max="3" width="12" customWidth="1"/>
    <col min="4" max="4" width="25.140625" customWidth="1"/>
  </cols>
  <sheetData>
    <row r="3" spans="2:4" x14ac:dyDescent="0.25">
      <c r="B3" s="157" t="s">
        <v>389</v>
      </c>
      <c r="C3" s="157"/>
      <c r="D3" s="157"/>
    </row>
    <row r="4" spans="2:4" x14ac:dyDescent="0.25">
      <c r="B4" s="5" t="s">
        <v>16</v>
      </c>
      <c r="C4" s="5" t="s">
        <v>392</v>
      </c>
      <c r="D4" s="5" t="s">
        <v>393</v>
      </c>
    </row>
    <row r="5" spans="2:4" x14ac:dyDescent="0.25">
      <c r="B5" s="6">
        <v>3745</v>
      </c>
      <c r="C5" s="6">
        <v>8745</v>
      </c>
      <c r="D5" s="6">
        <v>4998</v>
      </c>
    </row>
    <row r="6" spans="2:4" x14ac:dyDescent="0.25">
      <c r="B6" s="6">
        <v>4157</v>
      </c>
      <c r="C6" s="6">
        <v>4730</v>
      </c>
      <c r="D6" s="6">
        <v>3080</v>
      </c>
    </row>
    <row r="7" spans="2:4" x14ac:dyDescent="0.25">
      <c r="B7" s="6">
        <v>3300</v>
      </c>
      <c r="C7" s="6">
        <v>9459</v>
      </c>
      <c r="D7" s="6">
        <v>6711</v>
      </c>
    </row>
    <row r="8" spans="2:4" x14ac:dyDescent="0.25">
      <c r="B8" s="6">
        <v>900</v>
      </c>
      <c r="C8" s="6">
        <v>5810</v>
      </c>
      <c r="D8" s="6">
        <v>4474</v>
      </c>
    </row>
    <row r="9" spans="2:4" x14ac:dyDescent="0.25">
      <c r="B9" s="6">
        <v>1700</v>
      </c>
      <c r="C9" s="6">
        <v>6350</v>
      </c>
      <c r="D9" s="6">
        <v>4879</v>
      </c>
    </row>
    <row r="10" spans="2:4" x14ac:dyDescent="0.25">
      <c r="B10" s="6">
        <v>1350</v>
      </c>
      <c r="C10" s="6">
        <v>8300</v>
      </c>
      <c r="D10" s="6">
        <v>4835</v>
      </c>
    </row>
    <row r="11" spans="2:4" x14ac:dyDescent="0.25">
      <c r="B11" s="6">
        <v>800</v>
      </c>
      <c r="C11" s="6">
        <v>6600</v>
      </c>
      <c r="D11" s="6">
        <v>5646</v>
      </c>
    </row>
    <row r="12" spans="2:4" x14ac:dyDescent="0.25">
      <c r="B12" s="6">
        <v>1740</v>
      </c>
      <c r="C12" s="6">
        <v>6290</v>
      </c>
      <c r="D12" s="6">
        <v>4115</v>
      </c>
    </row>
    <row r="13" spans="2:4" x14ac:dyDescent="0.25">
      <c r="B13" s="6">
        <v>1900</v>
      </c>
      <c r="C13" s="6">
        <v>7635</v>
      </c>
      <c r="D13" s="6">
        <v>4050</v>
      </c>
    </row>
    <row r="14" spans="2:4" x14ac:dyDescent="0.25">
      <c r="B14" s="6">
        <v>2771</v>
      </c>
      <c r="C14" s="6">
        <v>6350</v>
      </c>
      <c r="D14" s="6">
        <v>4596</v>
      </c>
    </row>
    <row r="15" spans="2:4" x14ac:dyDescent="0.25">
      <c r="B15" s="6">
        <v>3156</v>
      </c>
      <c r="C15" s="6">
        <v>8930</v>
      </c>
      <c r="D15" s="6">
        <v>5416</v>
      </c>
    </row>
    <row r="16" spans="2:4" x14ac:dyDescent="0.25">
      <c r="B16" s="6">
        <v>1048</v>
      </c>
      <c r="C16" s="6">
        <v>6362</v>
      </c>
      <c r="D16" s="6">
        <v>5060</v>
      </c>
    </row>
    <row r="17" spans="2:4" x14ac:dyDescent="0.25">
      <c r="B17" s="6">
        <v>1350</v>
      </c>
      <c r="C17" s="6">
        <v>3259</v>
      </c>
      <c r="D17" s="6">
        <v>1886</v>
      </c>
    </row>
    <row r="18" spans="2:4" x14ac:dyDescent="0.25">
      <c r="B18" s="6">
        <v>2100</v>
      </c>
      <c r="C18" s="6">
        <v>6350</v>
      </c>
      <c r="D18" s="6">
        <v>5515</v>
      </c>
    </row>
    <row r="19" spans="2:4" x14ac:dyDescent="0.25">
      <c r="B19" s="6">
        <v>1117</v>
      </c>
      <c r="C19" s="6"/>
      <c r="D19" s="6"/>
    </row>
    <row r="20" spans="2:4" x14ac:dyDescent="0.25">
      <c r="B20" s="6">
        <v>1938</v>
      </c>
      <c r="C20" s="6"/>
      <c r="D20" s="6"/>
    </row>
    <row r="21" spans="2:4" x14ac:dyDescent="0.25">
      <c r="B21" s="6">
        <v>3528</v>
      </c>
      <c r="C21" s="6"/>
      <c r="D21" s="6"/>
    </row>
    <row r="22" spans="2:4" x14ac:dyDescent="0.25">
      <c r="B22" s="6">
        <v>1250</v>
      </c>
      <c r="C22" s="6"/>
      <c r="D22" s="6"/>
    </row>
    <row r="23" spans="2:4" x14ac:dyDescent="0.25">
      <c r="B23" s="6">
        <v>1000</v>
      </c>
      <c r="C23" s="6"/>
      <c r="D23" s="6"/>
    </row>
    <row r="24" spans="2:4" x14ac:dyDescent="0.25">
      <c r="B24" s="6">
        <v>1916</v>
      </c>
      <c r="C24" s="6"/>
      <c r="D24" s="6"/>
    </row>
    <row r="25" spans="2:4" x14ac:dyDescent="0.25">
      <c r="B25" s="6">
        <v>5200</v>
      </c>
      <c r="C25" s="6"/>
      <c r="D25" s="6"/>
    </row>
    <row r="26" spans="2:4" x14ac:dyDescent="0.25">
      <c r="B26" s="6">
        <v>3150</v>
      </c>
      <c r="C26" s="6"/>
      <c r="D26" s="6"/>
    </row>
    <row r="27" spans="2:4" x14ac:dyDescent="0.25">
      <c r="B27" s="6">
        <v>4549</v>
      </c>
      <c r="C27" s="6"/>
      <c r="D27" s="6"/>
    </row>
    <row r="28" spans="2:4" x14ac:dyDescent="0.25">
      <c r="B28" s="6">
        <v>1674</v>
      </c>
      <c r="C28" s="6"/>
      <c r="D28" s="6"/>
    </row>
    <row r="29" spans="2:4" x14ac:dyDescent="0.25">
      <c r="B29" s="6">
        <v>3943</v>
      </c>
      <c r="C29" s="6"/>
      <c r="D29" s="6"/>
    </row>
    <row r="30" spans="2:4" x14ac:dyDescent="0.25">
      <c r="B30" s="6">
        <v>2622</v>
      </c>
      <c r="C30" s="6"/>
      <c r="D30" s="6"/>
    </row>
    <row r="31" spans="2:4" x14ac:dyDescent="0.25">
      <c r="B31" s="6">
        <v>5147</v>
      </c>
      <c r="C31" s="6"/>
      <c r="D31" s="6"/>
    </row>
    <row r="32" spans="2:4" x14ac:dyDescent="0.25">
      <c r="B32" s="6">
        <v>1242</v>
      </c>
      <c r="C32" s="6"/>
      <c r="D32" s="6"/>
    </row>
    <row r="33" spans="2:4" x14ac:dyDescent="0.25">
      <c r="B33" s="6">
        <v>1332</v>
      </c>
      <c r="C33" s="6"/>
      <c r="D33" s="6"/>
    </row>
    <row r="34" spans="2:4" x14ac:dyDescent="0.25">
      <c r="B34" s="6">
        <v>3390</v>
      </c>
      <c r="C34" s="6"/>
      <c r="D34" s="6"/>
    </row>
    <row r="35" spans="2:4" x14ac:dyDescent="0.25">
      <c r="B35" s="6">
        <v>2594</v>
      </c>
      <c r="C35" s="6"/>
      <c r="D35" s="6"/>
    </row>
    <row r="36" spans="2:4" x14ac:dyDescent="0.25">
      <c r="B36" s="6">
        <v>1615</v>
      </c>
      <c r="C36" s="6"/>
      <c r="D36" s="6"/>
    </row>
    <row r="37" spans="2:4" x14ac:dyDescent="0.25">
      <c r="B37" s="6">
        <v>2820</v>
      </c>
      <c r="C37" s="6"/>
      <c r="D37" s="6"/>
    </row>
    <row r="38" spans="2:4" x14ac:dyDescent="0.25">
      <c r="B38" s="6">
        <v>2812</v>
      </c>
      <c r="C38" s="6"/>
      <c r="D38" s="6"/>
    </row>
    <row r="39" spans="2:4" x14ac:dyDescent="0.25">
      <c r="B39" s="6">
        <v>1257</v>
      </c>
      <c r="C39" s="6"/>
      <c r="D39" s="6"/>
    </row>
    <row r="40" spans="2:4" x14ac:dyDescent="0.25">
      <c r="B40" s="6">
        <v>2776</v>
      </c>
      <c r="C40" s="6"/>
      <c r="D40" s="6"/>
    </row>
    <row r="41" spans="2:4" x14ac:dyDescent="0.25">
      <c r="B41" s="6">
        <v>3500</v>
      </c>
      <c r="C41" s="6"/>
      <c r="D41" s="6"/>
    </row>
    <row r="42" spans="2:4" x14ac:dyDescent="0.25">
      <c r="B42" s="6">
        <v>2810</v>
      </c>
      <c r="C42" s="6"/>
      <c r="D42" s="6"/>
    </row>
    <row r="43" spans="2:4" x14ac:dyDescent="0.25">
      <c r="B43" s="6">
        <v>1207</v>
      </c>
      <c r="C43" s="6"/>
      <c r="D43" s="6"/>
    </row>
    <row r="44" spans="2:4" x14ac:dyDescent="0.25">
      <c r="B44" s="6">
        <v>2240</v>
      </c>
      <c r="C44" s="6"/>
      <c r="D44" s="6"/>
    </row>
    <row r="45" spans="2:4" x14ac:dyDescent="0.25">
      <c r="B45" s="6">
        <v>1761</v>
      </c>
      <c r="C45" s="6"/>
      <c r="D45" s="6"/>
    </row>
    <row r="46" spans="2:4" x14ac:dyDescent="0.25">
      <c r="B46" s="6">
        <v>1762</v>
      </c>
      <c r="C46" s="6"/>
      <c r="D46" s="6"/>
    </row>
    <row r="47" spans="2:4" x14ac:dyDescent="0.25">
      <c r="B47" s="6">
        <v>2538</v>
      </c>
      <c r="C47" s="6"/>
      <c r="D47" s="6"/>
    </row>
    <row r="48" spans="2:4" x14ac:dyDescent="0.25">
      <c r="B48" s="6">
        <v>1573</v>
      </c>
      <c r="C48" s="6"/>
      <c r="D48" s="6"/>
    </row>
    <row r="49" spans="2:4" x14ac:dyDescent="0.25">
      <c r="B49" s="6">
        <v>2314</v>
      </c>
      <c r="C49" s="6"/>
      <c r="D49" s="6"/>
    </row>
    <row r="50" spans="2:4" x14ac:dyDescent="0.25">
      <c r="B50" s="6">
        <v>2377</v>
      </c>
      <c r="C50" s="6"/>
      <c r="D50" s="6"/>
    </row>
    <row r="51" spans="2:4" x14ac:dyDescent="0.25">
      <c r="B51" s="6">
        <v>3380</v>
      </c>
      <c r="C51" s="6"/>
      <c r="D51" s="6"/>
    </row>
    <row r="52" spans="2:4" x14ac:dyDescent="0.25">
      <c r="B52" s="6">
        <v>1108</v>
      </c>
      <c r="C52" s="6"/>
      <c r="D52" s="6"/>
    </row>
    <row r="53" spans="2:4" x14ac:dyDescent="0.25">
      <c r="B53" s="6">
        <v>2774</v>
      </c>
      <c r="C53" s="6"/>
      <c r="D53" s="6"/>
    </row>
    <row r="54" spans="2:4" x14ac:dyDescent="0.25">
      <c r="B54" s="6">
        <v>2925</v>
      </c>
      <c r="C54" s="6"/>
      <c r="D54" s="6"/>
    </row>
    <row r="55" spans="2:4" x14ac:dyDescent="0.25">
      <c r="B55" s="6">
        <v>4240</v>
      </c>
      <c r="C55" s="6"/>
      <c r="D55" s="6"/>
    </row>
    <row r="56" spans="2:4" x14ac:dyDescent="0.25">
      <c r="B56" s="6">
        <v>5492</v>
      </c>
      <c r="C56" s="6"/>
      <c r="D56" s="6"/>
    </row>
    <row r="57" spans="2:4" x14ac:dyDescent="0.25">
      <c r="B57" s="6">
        <v>1064</v>
      </c>
      <c r="C57" s="6"/>
      <c r="D57" s="6"/>
    </row>
    <row r="58" spans="2:4" x14ac:dyDescent="0.25">
      <c r="B58" s="6">
        <v>2850</v>
      </c>
      <c r="C58" s="6"/>
      <c r="D58" s="6"/>
    </row>
    <row r="59" spans="2:4" x14ac:dyDescent="0.25">
      <c r="B59" s="6">
        <v>2500</v>
      </c>
      <c r="C59" s="6"/>
      <c r="D59" s="6"/>
    </row>
    <row r="60" spans="2:4" x14ac:dyDescent="0.25">
      <c r="B60" s="6">
        <v>2087</v>
      </c>
      <c r="C60" s="6"/>
      <c r="D60" s="6"/>
    </row>
    <row r="61" spans="2:4" x14ac:dyDescent="0.25">
      <c r="B61" s="6">
        <v>891</v>
      </c>
      <c r="C61" s="6"/>
      <c r="D61" s="6"/>
    </row>
    <row r="62" spans="2:4" x14ac:dyDescent="0.25">
      <c r="B62" s="6">
        <v>2370</v>
      </c>
      <c r="C62" s="6"/>
      <c r="D62" s="6"/>
    </row>
    <row r="63" spans="2:4" x14ac:dyDescent="0.25">
      <c r="B63" s="6">
        <v>1230</v>
      </c>
      <c r="C63" s="6"/>
      <c r="D63" s="6"/>
    </row>
    <row r="64" spans="2:4" x14ac:dyDescent="0.25">
      <c r="B64" s="6">
        <v>3255</v>
      </c>
      <c r="C64" s="6"/>
      <c r="D64" s="6"/>
    </row>
    <row r="65" spans="2:4" x14ac:dyDescent="0.25">
      <c r="B65" s="6">
        <v>1308</v>
      </c>
      <c r="C65" s="6"/>
      <c r="D65" s="6"/>
    </row>
    <row r="66" spans="2:4" x14ac:dyDescent="0.25">
      <c r="B66" s="6">
        <v>1827</v>
      </c>
      <c r="C66" s="6"/>
      <c r="D66" s="6"/>
    </row>
    <row r="67" spans="2:4" x14ac:dyDescent="0.25">
      <c r="B67" s="6">
        <v>2343</v>
      </c>
      <c r="C67" s="6"/>
      <c r="D67" s="6"/>
    </row>
    <row r="68" spans="2:4" x14ac:dyDescent="0.25">
      <c r="B68" s="6">
        <v>1904</v>
      </c>
      <c r="C68" s="6"/>
      <c r="D68" s="6"/>
    </row>
    <row r="69" spans="2:4" x14ac:dyDescent="0.25">
      <c r="B69" s="6">
        <v>5500</v>
      </c>
      <c r="C69" s="6"/>
      <c r="D69" s="6"/>
    </row>
    <row r="70" spans="2:4" x14ac:dyDescent="0.25">
      <c r="B70" s="6">
        <v>2985</v>
      </c>
      <c r="C70" s="6"/>
      <c r="D70" s="6"/>
    </row>
    <row r="71" spans="2:4" x14ac:dyDescent="0.25">
      <c r="B71" s="6">
        <v>1686</v>
      </c>
      <c r="C71" s="6"/>
      <c r="D71" s="6"/>
    </row>
    <row r="72" spans="2:4" x14ac:dyDescent="0.25">
      <c r="B72" s="6">
        <v>1815</v>
      </c>
      <c r="C72" s="6"/>
      <c r="D72" s="6"/>
    </row>
    <row r="73" spans="2:4" x14ac:dyDescent="0.25">
      <c r="B73" s="6">
        <v>2693</v>
      </c>
      <c r="C73" s="6"/>
      <c r="D73" s="6"/>
    </row>
    <row r="74" spans="2:4" x14ac:dyDescent="0.25">
      <c r="B74" s="6">
        <v>2521</v>
      </c>
      <c r="C74" s="6"/>
      <c r="D74" s="6"/>
    </row>
    <row r="75" spans="2:4" x14ac:dyDescent="0.25">
      <c r="B75" s="6">
        <v>2926</v>
      </c>
      <c r="C75" s="6"/>
      <c r="D75" s="6"/>
    </row>
    <row r="76" spans="2:4" x14ac:dyDescent="0.25">
      <c r="B76" s="6">
        <v>2010</v>
      </c>
      <c r="C76" s="6"/>
      <c r="D76" s="6"/>
    </row>
    <row r="77" spans="2:4" x14ac:dyDescent="0.25">
      <c r="B77" s="6">
        <v>1631</v>
      </c>
      <c r="C77" s="6"/>
      <c r="D77" s="6"/>
    </row>
    <row r="78" spans="2:4" x14ac:dyDescent="0.25">
      <c r="B78" s="6">
        <v>1289</v>
      </c>
      <c r="C78" s="6"/>
      <c r="D78" s="6"/>
    </row>
    <row r="79" spans="2:4" x14ac:dyDescent="0.25">
      <c r="B79" s="6">
        <v>3216</v>
      </c>
      <c r="C79" s="6"/>
      <c r="D79" s="6"/>
    </row>
    <row r="80" spans="2:4" x14ac:dyDescent="0.25">
      <c r="B80" s="6">
        <v>1874</v>
      </c>
      <c r="C80" s="6"/>
      <c r="D80" s="6"/>
    </row>
    <row r="81" spans="2:4" x14ac:dyDescent="0.25">
      <c r="B81" s="6">
        <v>3744</v>
      </c>
      <c r="C81" s="6"/>
      <c r="D81" s="6"/>
    </row>
    <row r="82" spans="2:4" x14ac:dyDescent="0.25">
      <c r="B82" s="6">
        <v>1186</v>
      </c>
      <c r="C82" s="6"/>
      <c r="D82" s="6"/>
    </row>
    <row r="83" spans="2:4" x14ac:dyDescent="0.25">
      <c r="B83" s="6">
        <v>1674</v>
      </c>
      <c r="C83" s="6"/>
      <c r="D83" s="6"/>
    </row>
    <row r="84" spans="2:4" x14ac:dyDescent="0.25">
      <c r="B84" s="6">
        <v>2250</v>
      </c>
      <c r="C84" s="6"/>
      <c r="D84" s="6"/>
    </row>
    <row r="85" spans="2:4" x14ac:dyDescent="0.25">
      <c r="B85" s="6">
        <v>2550</v>
      </c>
      <c r="C85" s="6"/>
      <c r="D85" s="6"/>
    </row>
    <row r="86" spans="2:4" x14ac:dyDescent="0.25">
      <c r="B86" s="6">
        <v>1700</v>
      </c>
      <c r="C86" s="6"/>
      <c r="D86" s="6"/>
    </row>
    <row r="87" spans="2:4" x14ac:dyDescent="0.25">
      <c r="B87" s="6">
        <v>951</v>
      </c>
      <c r="C87" s="6"/>
      <c r="D87" s="6"/>
    </row>
    <row r="88" spans="2:4" x14ac:dyDescent="0.25">
      <c r="B88" s="6">
        <v>3761</v>
      </c>
      <c r="C88" s="6"/>
      <c r="D88" s="6"/>
    </row>
    <row r="89" spans="2:4" x14ac:dyDescent="0.25">
      <c r="B89" s="6">
        <v>2429</v>
      </c>
      <c r="C89" s="6"/>
      <c r="D89" s="6"/>
    </row>
    <row r="90" spans="2:4" x14ac:dyDescent="0.25">
      <c r="B90" s="6">
        <v>2105</v>
      </c>
      <c r="C90" s="6"/>
      <c r="D90" s="6"/>
    </row>
    <row r="91" spans="2:4" x14ac:dyDescent="0.25">
      <c r="B91" s="6">
        <v>1525</v>
      </c>
      <c r="C91" s="6"/>
      <c r="D91" s="6"/>
    </row>
    <row r="92" spans="2:4" x14ac:dyDescent="0.25">
      <c r="B92" s="6">
        <v>1750</v>
      </c>
      <c r="C92" s="6"/>
      <c r="D92" s="6"/>
    </row>
    <row r="93" spans="2:4" x14ac:dyDescent="0.25">
      <c r="B93" s="6">
        <v>1489</v>
      </c>
      <c r="C93" s="6"/>
      <c r="D93" s="6"/>
    </row>
    <row r="94" spans="2:4" x14ac:dyDescent="0.25">
      <c r="B94" s="6">
        <v>1886</v>
      </c>
      <c r="C94" s="6"/>
      <c r="D94" s="6"/>
    </row>
    <row r="95" spans="2:4" x14ac:dyDescent="0.25">
      <c r="B95" s="6">
        <v>1942</v>
      </c>
      <c r="C95" s="6"/>
      <c r="D95" s="6"/>
    </row>
    <row r="96" spans="2:4" x14ac:dyDescent="0.25">
      <c r="B96" s="6">
        <v>2326</v>
      </c>
      <c r="C96" s="6"/>
      <c r="D96" s="6"/>
    </row>
    <row r="97" spans="2:4" x14ac:dyDescent="0.25">
      <c r="B97" s="6">
        <v>1100</v>
      </c>
      <c r="C97" s="6"/>
      <c r="D97" s="6"/>
    </row>
    <row r="98" spans="2:4" x14ac:dyDescent="0.25">
      <c r="B98" s="6">
        <v>2550</v>
      </c>
      <c r="C98" s="6"/>
      <c r="D98" s="6"/>
    </row>
    <row r="99" spans="2:4" x14ac:dyDescent="0.25">
      <c r="B99" s="6">
        <v>1545</v>
      </c>
      <c r="C99" s="6"/>
      <c r="D99" s="6"/>
    </row>
    <row r="100" spans="2:4" x14ac:dyDescent="0.25">
      <c r="B100" s="6">
        <v>4064</v>
      </c>
      <c r="C100" s="6"/>
      <c r="D100" s="6"/>
    </row>
    <row r="101" spans="2:4" x14ac:dyDescent="0.25">
      <c r="B101" s="6">
        <v>2268</v>
      </c>
      <c r="C101" s="6"/>
      <c r="D101" s="6"/>
    </row>
    <row r="102" spans="2:4" x14ac:dyDescent="0.25">
      <c r="B102" s="6">
        <v>2712</v>
      </c>
      <c r="C102" s="6"/>
      <c r="D102" s="6"/>
    </row>
    <row r="103" spans="2:4" x14ac:dyDescent="0.25">
      <c r="B103" s="6">
        <v>2723</v>
      </c>
      <c r="C103" s="6"/>
      <c r="D103" s="6"/>
    </row>
    <row r="104" spans="2:4" x14ac:dyDescent="0.25">
      <c r="B104" s="6">
        <v>4448</v>
      </c>
      <c r="C104" s="6"/>
      <c r="D104" s="6"/>
    </row>
    <row r="105" spans="2:4" x14ac:dyDescent="0.25">
      <c r="B105" s="6">
        <v>2612</v>
      </c>
      <c r="C105" s="6"/>
      <c r="D105" s="6"/>
    </row>
    <row r="106" spans="2:4" x14ac:dyDescent="0.25">
      <c r="B106" s="6">
        <v>2140</v>
      </c>
      <c r="C106" s="6"/>
      <c r="D106" s="6"/>
    </row>
    <row r="107" spans="2:4" x14ac:dyDescent="0.25">
      <c r="B107" s="6">
        <v>2824</v>
      </c>
      <c r="C107" s="6"/>
      <c r="D107" s="6"/>
    </row>
    <row r="108" spans="2:4" x14ac:dyDescent="0.25">
      <c r="B108" s="6">
        <v>2622</v>
      </c>
      <c r="C108" s="6"/>
      <c r="D108" s="6"/>
    </row>
    <row r="109" spans="2:4" x14ac:dyDescent="0.25">
      <c r="B109" s="6">
        <v>1155</v>
      </c>
      <c r="C109" s="6"/>
      <c r="D109" s="6"/>
    </row>
    <row r="110" spans="2:4" x14ac:dyDescent="0.25">
      <c r="B110" s="6">
        <v>1460</v>
      </c>
      <c r="C110" s="6"/>
      <c r="D110" s="6"/>
    </row>
    <row r="111" spans="2:4" x14ac:dyDescent="0.25">
      <c r="B111" s="6">
        <v>4099</v>
      </c>
      <c r="C111" s="6"/>
      <c r="D111" s="6"/>
    </row>
    <row r="112" spans="2:4" x14ac:dyDescent="0.25">
      <c r="B112" s="6">
        <v>964</v>
      </c>
      <c r="C112" s="6"/>
      <c r="D112" s="6"/>
    </row>
    <row r="113" spans="2:4" x14ac:dyDescent="0.25">
      <c r="B113" s="6">
        <v>1184</v>
      </c>
      <c r="C113" s="6"/>
      <c r="D113" s="6"/>
    </row>
    <row r="114" spans="2:4" x14ac:dyDescent="0.25">
      <c r="B114" s="6">
        <v>2021</v>
      </c>
      <c r="C114" s="6"/>
      <c r="D114" s="6"/>
    </row>
    <row r="115" spans="2:4" x14ac:dyDescent="0.25">
      <c r="B115" s="6">
        <v>1900</v>
      </c>
      <c r="C115" s="6"/>
      <c r="D115" s="6"/>
    </row>
    <row r="116" spans="2:4" x14ac:dyDescent="0.25">
      <c r="B116" s="6">
        <v>1675</v>
      </c>
      <c r="C116" s="6"/>
      <c r="D116" s="6"/>
    </row>
    <row r="117" spans="2:4" x14ac:dyDescent="0.25">
      <c r="B117" s="6">
        <v>2000</v>
      </c>
      <c r="C117" s="6"/>
      <c r="D117" s="6"/>
    </row>
    <row r="118" spans="2:4" x14ac:dyDescent="0.25">
      <c r="B118" s="6">
        <v>2800</v>
      </c>
      <c r="C118" s="6"/>
      <c r="D118" s="6"/>
    </row>
    <row r="119" spans="2:4" x14ac:dyDescent="0.25">
      <c r="B119" s="6">
        <v>2375</v>
      </c>
      <c r="C119" s="6"/>
      <c r="D119" s="6"/>
    </row>
    <row r="120" spans="2:4" x14ac:dyDescent="0.25">
      <c r="B120" s="6">
        <v>4025</v>
      </c>
      <c r="C120" s="6"/>
      <c r="D120" s="6"/>
    </row>
    <row r="121" spans="2:4" x14ac:dyDescent="0.25">
      <c r="B121" s="6">
        <v>2375</v>
      </c>
      <c r="C121" s="6"/>
      <c r="D121" s="6"/>
    </row>
    <row r="122" spans="2:4" x14ac:dyDescent="0.25">
      <c r="B122" s="6">
        <v>3100</v>
      </c>
      <c r="C122" s="6"/>
      <c r="D122" s="6"/>
    </row>
    <row r="123" spans="2:4" x14ac:dyDescent="0.25">
      <c r="B123" s="6">
        <v>2201</v>
      </c>
      <c r="C123" s="6"/>
      <c r="D123" s="6"/>
    </row>
    <row r="124" spans="2:4" x14ac:dyDescent="0.25">
      <c r="B124" s="6">
        <v>2327</v>
      </c>
      <c r="C124" s="6"/>
      <c r="D124" s="6"/>
    </row>
    <row r="125" spans="2:4" x14ac:dyDescent="0.25">
      <c r="B125" s="6">
        <v>2127</v>
      </c>
      <c r="C125" s="6"/>
      <c r="D125" s="6"/>
    </row>
    <row r="126" spans="2:4" x14ac:dyDescent="0.25">
      <c r="B126" s="6">
        <v>3147</v>
      </c>
      <c r="C126" s="6"/>
      <c r="D126" s="6"/>
    </row>
    <row r="127" spans="2:4" x14ac:dyDescent="0.25">
      <c r="B127" s="6">
        <v>3018</v>
      </c>
      <c r="C127" s="6"/>
      <c r="D127" s="6"/>
    </row>
    <row r="128" spans="2:4" x14ac:dyDescent="0.25">
      <c r="B128" s="6">
        <v>2806</v>
      </c>
      <c r="C128" s="6"/>
      <c r="D128" s="6"/>
    </row>
    <row r="129" spans="2:4" x14ac:dyDescent="0.25">
      <c r="B129" s="6">
        <v>3204</v>
      </c>
      <c r="C129" s="6"/>
      <c r="D129" s="6"/>
    </row>
    <row r="130" spans="2:4" x14ac:dyDescent="0.25">
      <c r="B130" s="6">
        <v>1350</v>
      </c>
      <c r="C130" s="6"/>
      <c r="D130" s="6"/>
    </row>
    <row r="131" spans="2:4" x14ac:dyDescent="0.25">
      <c r="B131" s="6">
        <v>924</v>
      </c>
      <c r="C131" s="6"/>
      <c r="D131" s="6"/>
    </row>
    <row r="132" spans="2:4" x14ac:dyDescent="0.25">
      <c r="B132" s="6">
        <v>5235</v>
      </c>
      <c r="C132" s="6"/>
      <c r="D132" s="6"/>
    </row>
    <row r="133" spans="2:4" x14ac:dyDescent="0.25">
      <c r="B133" s="6">
        <v>559</v>
      </c>
      <c r="C133" s="6"/>
      <c r="D133" s="6"/>
    </row>
    <row r="134" spans="2:4" x14ac:dyDescent="0.25">
      <c r="B134" s="6">
        <v>1516</v>
      </c>
      <c r="C134" s="6"/>
      <c r="D134" s="6"/>
    </row>
    <row r="135" spans="2:4" x14ac:dyDescent="0.25">
      <c r="B135" s="6">
        <v>2179</v>
      </c>
      <c r="C135" s="6"/>
      <c r="D135" s="6"/>
    </row>
    <row r="136" spans="2:4" x14ac:dyDescent="0.25">
      <c r="B136" s="6">
        <v>1287</v>
      </c>
      <c r="C136" s="6"/>
      <c r="D136" s="6"/>
    </row>
    <row r="137" spans="2:4" x14ac:dyDescent="0.25">
      <c r="B137" s="6">
        <v>1733</v>
      </c>
      <c r="C137" s="6"/>
      <c r="D137" s="6"/>
    </row>
    <row r="138" spans="2:4" x14ac:dyDescent="0.25">
      <c r="B138" s="6">
        <v>2733</v>
      </c>
      <c r="C138" s="6"/>
      <c r="D138" s="6"/>
    </row>
    <row r="139" spans="2:4" x14ac:dyDescent="0.25">
      <c r="B139" s="6">
        <v>1314</v>
      </c>
      <c r="C139" s="6"/>
      <c r="D139" s="6"/>
    </row>
    <row r="140" spans="2:4" x14ac:dyDescent="0.25">
      <c r="B140" s="6">
        <v>1442</v>
      </c>
      <c r="C140" s="6"/>
      <c r="D140" s="6"/>
    </row>
    <row r="141" spans="2:4" x14ac:dyDescent="0.25">
      <c r="B141" s="6">
        <v>4052</v>
      </c>
      <c r="C141" s="6"/>
      <c r="D141" s="6"/>
    </row>
    <row r="142" spans="2:4" x14ac:dyDescent="0.25">
      <c r="B142" s="6">
        <v>2116</v>
      </c>
      <c r="C142" s="6"/>
      <c r="D142" s="6"/>
    </row>
    <row r="143" spans="2:4" x14ac:dyDescent="0.25">
      <c r="B143" s="6">
        <v>2539</v>
      </c>
      <c r="C143" s="6"/>
      <c r="D143" s="6"/>
    </row>
    <row r="144" spans="2:4" x14ac:dyDescent="0.25">
      <c r="B144" s="6">
        <v>2627</v>
      </c>
      <c r="C144" s="6"/>
      <c r="D144" s="6"/>
    </row>
    <row r="145" spans="2:4" x14ac:dyDescent="0.25">
      <c r="B145" s="6">
        <v>1550</v>
      </c>
      <c r="C145" s="6"/>
      <c r="D145" s="6"/>
    </row>
    <row r="146" spans="2:4" x14ac:dyDescent="0.25">
      <c r="B146" s="6">
        <v>986</v>
      </c>
      <c r="C146" s="6"/>
      <c r="D146" s="6"/>
    </row>
    <row r="147" spans="2:4" x14ac:dyDescent="0.25">
      <c r="B147" s="6">
        <v>1440</v>
      </c>
      <c r="C147" s="6"/>
      <c r="D147" s="6"/>
    </row>
    <row r="148" spans="2:4" x14ac:dyDescent="0.25">
      <c r="B148" s="6">
        <v>1740</v>
      </c>
      <c r="C148" s="6"/>
      <c r="D148" s="6"/>
    </row>
    <row r="149" spans="2:4" x14ac:dyDescent="0.25">
      <c r="B149" s="6">
        <v>1875</v>
      </c>
      <c r="C149" s="6"/>
      <c r="D149" s="6"/>
    </row>
    <row r="150" spans="2:4" x14ac:dyDescent="0.25">
      <c r="B150" s="6">
        <v>2750</v>
      </c>
      <c r="C150" s="6"/>
      <c r="D150" s="6"/>
    </row>
    <row r="151" spans="2:4" x14ac:dyDescent="0.25">
      <c r="B151" s="6">
        <v>2000</v>
      </c>
      <c r="C151" s="6"/>
      <c r="D151" s="6"/>
    </row>
    <row r="152" spans="2:4" x14ac:dyDescent="0.25">
      <c r="B152" s="6">
        <v>2442</v>
      </c>
      <c r="C152" s="6"/>
      <c r="D152" s="6"/>
    </row>
    <row r="153" spans="2:4" x14ac:dyDescent="0.25">
      <c r="B153" s="6">
        <v>2727</v>
      </c>
      <c r="C153" s="6"/>
      <c r="D153" s="6"/>
    </row>
    <row r="154" spans="2:4" x14ac:dyDescent="0.25">
      <c r="B154" s="6">
        <v>4325</v>
      </c>
      <c r="C154" s="6"/>
      <c r="D154" s="6"/>
    </row>
    <row r="155" spans="2:4" x14ac:dyDescent="0.25">
      <c r="B155" s="6">
        <v>1994</v>
      </c>
      <c r="C155" s="6"/>
      <c r="D155" s="6"/>
    </row>
    <row r="156" spans="2:4" x14ac:dyDescent="0.25">
      <c r="B156" s="6">
        <v>3000</v>
      </c>
      <c r="C156" s="6"/>
      <c r="D156" s="6"/>
    </row>
    <row r="157" spans="2:4" x14ac:dyDescent="0.25">
      <c r="B157" s="6">
        <v>2743</v>
      </c>
      <c r="C157" s="6"/>
      <c r="D157" s="6"/>
    </row>
    <row r="158" spans="2:4" x14ac:dyDescent="0.25">
      <c r="B158" s="6">
        <v>2502</v>
      </c>
      <c r="C158" s="6"/>
      <c r="D158" s="6"/>
    </row>
    <row r="159" spans="2:4" x14ac:dyDescent="0.25">
      <c r="B159" s="6">
        <v>1325</v>
      </c>
      <c r="C159" s="6"/>
      <c r="D159" s="6"/>
    </row>
    <row r="160" spans="2:4" x14ac:dyDescent="0.25">
      <c r="B160" s="6">
        <v>3642</v>
      </c>
      <c r="C160" s="6"/>
      <c r="D160" s="6"/>
    </row>
    <row r="161" spans="2:4" x14ac:dyDescent="0.25">
      <c r="B161" s="6">
        <v>1432</v>
      </c>
      <c r="C161" s="6"/>
      <c r="D161" s="6"/>
    </row>
    <row r="162" spans="2:4" x14ac:dyDescent="0.25">
      <c r="B162" s="6">
        <v>1400</v>
      </c>
      <c r="C162" s="6"/>
      <c r="D162" s="6"/>
    </row>
    <row r="163" spans="2:4" x14ac:dyDescent="0.25">
      <c r="B163" s="6">
        <v>3530</v>
      </c>
      <c r="C163" s="6"/>
      <c r="D163" s="6"/>
    </row>
  </sheetData>
  <mergeCells count="1">
    <mergeCell ref="B3:D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49D8-38BD-4C1A-9D93-6F8EFF13454A}">
  <dimension ref="B3:B18"/>
  <sheetViews>
    <sheetView workbookViewId="0">
      <selection activeCell="B33" sqref="B33"/>
    </sheetView>
  </sheetViews>
  <sheetFormatPr defaultRowHeight="15" x14ac:dyDescent="0.25"/>
  <cols>
    <col min="2" max="2" width="30.7109375" customWidth="1"/>
  </cols>
  <sheetData>
    <row r="3" spans="2:2" ht="30" x14ac:dyDescent="0.25">
      <c r="B3" s="124" t="s">
        <v>394</v>
      </c>
    </row>
    <row r="4" spans="2:2" x14ac:dyDescent="0.25">
      <c r="B4" s="5" t="s">
        <v>395</v>
      </c>
    </row>
    <row r="5" spans="2:2" x14ac:dyDescent="0.25">
      <c r="B5" s="10">
        <v>42.847340000000003</v>
      </c>
    </row>
    <row r="6" spans="2:2" x14ac:dyDescent="0.25">
      <c r="B6" s="10">
        <v>34.883719999999997</v>
      </c>
    </row>
    <row r="7" spans="2:2" x14ac:dyDescent="0.25">
      <c r="B7" s="10">
        <v>29.0517</v>
      </c>
    </row>
    <row r="8" spans="2:2" x14ac:dyDescent="0.25">
      <c r="B8" s="10">
        <v>22.99484</v>
      </c>
    </row>
    <row r="9" spans="2:2" x14ac:dyDescent="0.25">
      <c r="B9" s="10">
        <v>23.16535</v>
      </c>
    </row>
    <row r="10" spans="2:2" x14ac:dyDescent="0.25">
      <c r="B10" s="10">
        <v>41.746989999999997</v>
      </c>
    </row>
    <row r="11" spans="2:2" x14ac:dyDescent="0.25">
      <c r="B11" s="10">
        <v>14.454549999999999</v>
      </c>
    </row>
    <row r="12" spans="2:2" x14ac:dyDescent="0.25">
      <c r="B12" s="10">
        <v>24.59459</v>
      </c>
    </row>
    <row r="13" spans="2:2" x14ac:dyDescent="0.25">
      <c r="B13" s="10">
        <v>46.954810000000002</v>
      </c>
    </row>
    <row r="14" spans="2:2" x14ac:dyDescent="0.25">
      <c r="B14" s="10">
        <v>27.622050000000002</v>
      </c>
    </row>
    <row r="15" spans="2:2" x14ac:dyDescent="0.25">
      <c r="B15" s="10">
        <v>39.350499999999997</v>
      </c>
    </row>
    <row r="16" spans="2:2" x14ac:dyDescent="0.25">
      <c r="B16" s="10">
        <v>20.465260000000001</v>
      </c>
    </row>
    <row r="17" spans="2:2" x14ac:dyDescent="0.25">
      <c r="B17" s="10">
        <v>42.129489999999997</v>
      </c>
    </row>
    <row r="18" spans="2:2" x14ac:dyDescent="0.25">
      <c r="B18" s="10">
        <v>13.149609999999999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BA9D-B90F-4916-879D-E2B0D02B5CB9}">
  <dimension ref="B4:C15"/>
  <sheetViews>
    <sheetView workbookViewId="0">
      <selection activeCell="M8" sqref="M8"/>
    </sheetView>
  </sheetViews>
  <sheetFormatPr defaultRowHeight="15" x14ac:dyDescent="0.25"/>
  <cols>
    <col min="2" max="2" width="13.28515625" customWidth="1"/>
    <col min="3" max="3" width="26.140625" customWidth="1"/>
  </cols>
  <sheetData>
    <row r="4" spans="2:3" x14ac:dyDescent="0.25">
      <c r="B4" s="157" t="s">
        <v>396</v>
      </c>
      <c r="C4" s="157"/>
    </row>
    <row r="5" spans="2:3" x14ac:dyDescent="0.25">
      <c r="B5" s="5" t="s">
        <v>392</v>
      </c>
      <c r="C5" s="5" t="s">
        <v>393</v>
      </c>
    </row>
    <row r="6" spans="2:3" x14ac:dyDescent="0.25">
      <c r="B6" s="10">
        <v>5</v>
      </c>
      <c r="C6" s="10">
        <v>1</v>
      </c>
    </row>
    <row r="7" spans="2:3" x14ac:dyDescent="0.25">
      <c r="B7" s="10">
        <v>3</v>
      </c>
      <c r="C7" s="10">
        <v>1</v>
      </c>
    </row>
    <row r="8" spans="2:3" x14ac:dyDescent="0.25">
      <c r="B8" s="10">
        <v>3</v>
      </c>
      <c r="C8" s="10">
        <v>0</v>
      </c>
    </row>
    <row r="9" spans="2:3" x14ac:dyDescent="0.25">
      <c r="B9" s="10">
        <v>4</v>
      </c>
      <c r="C9" s="10">
        <v>2</v>
      </c>
    </row>
    <row r="10" spans="2:3" x14ac:dyDescent="0.25">
      <c r="B10" s="10">
        <v>2</v>
      </c>
      <c r="C10" s="10">
        <v>0</v>
      </c>
    </row>
    <row r="11" spans="2:3" x14ac:dyDescent="0.25">
      <c r="B11" s="10">
        <v>4</v>
      </c>
      <c r="C11" s="10">
        <v>1</v>
      </c>
    </row>
    <row r="12" spans="2:3" x14ac:dyDescent="0.25">
      <c r="B12" s="10">
        <v>4</v>
      </c>
      <c r="C12" s="10">
        <v>1</v>
      </c>
    </row>
    <row r="13" spans="2:3" x14ac:dyDescent="0.25">
      <c r="B13" s="10">
        <v>7</v>
      </c>
      <c r="C13" s="10">
        <v>1</v>
      </c>
    </row>
    <row r="14" spans="2:3" x14ac:dyDescent="0.25">
      <c r="B14" s="10">
        <v>4</v>
      </c>
      <c r="C14" s="10">
        <v>1</v>
      </c>
    </row>
    <row r="15" spans="2:3" x14ac:dyDescent="0.25">
      <c r="B15" s="10">
        <v>3</v>
      </c>
      <c r="C15" s="10">
        <v>1</v>
      </c>
    </row>
  </sheetData>
  <mergeCells count="1">
    <mergeCell ref="B4:C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64CD4-33FA-4049-82E7-F33C06FF881A}">
  <dimension ref="B3:C19"/>
  <sheetViews>
    <sheetView workbookViewId="0">
      <selection activeCell="B3" sqref="B3:C3"/>
    </sheetView>
  </sheetViews>
  <sheetFormatPr defaultRowHeight="15" x14ac:dyDescent="0.25"/>
  <cols>
    <col min="2" max="2" width="15.85546875" customWidth="1"/>
    <col min="3" max="3" width="23.28515625" customWidth="1"/>
  </cols>
  <sheetData>
    <row r="3" spans="2:3" x14ac:dyDescent="0.25">
      <c r="B3" s="157" t="s">
        <v>397</v>
      </c>
      <c r="C3" s="157"/>
    </row>
    <row r="4" spans="2:3" x14ac:dyDescent="0.25">
      <c r="B4" s="5" t="s">
        <v>392</v>
      </c>
      <c r="C4" s="5" t="s">
        <v>393</v>
      </c>
    </row>
    <row r="5" spans="2:3" x14ac:dyDescent="0.25">
      <c r="B5" s="10">
        <v>31</v>
      </c>
      <c r="C5" s="10">
        <v>19.3</v>
      </c>
    </row>
    <row r="6" spans="2:3" x14ac:dyDescent="0.25">
      <c r="B6" s="10">
        <v>34</v>
      </c>
      <c r="C6" s="10">
        <v>26.7</v>
      </c>
    </row>
    <row r="7" spans="2:3" x14ac:dyDescent="0.25">
      <c r="B7" s="10">
        <v>25</v>
      </c>
      <c r="C7" s="10">
        <v>21.7</v>
      </c>
    </row>
    <row r="8" spans="2:3" x14ac:dyDescent="0.25">
      <c r="B8" s="10">
        <v>38</v>
      </c>
      <c r="C8" s="10">
        <v>40</v>
      </c>
    </row>
    <row r="9" spans="2:3" x14ac:dyDescent="0.25">
      <c r="B9" s="10">
        <v>25</v>
      </c>
      <c r="C9" s="10">
        <v>19</v>
      </c>
    </row>
    <row r="10" spans="2:3" x14ac:dyDescent="0.25">
      <c r="B10" s="10">
        <v>21</v>
      </c>
      <c r="C10" s="10">
        <v>19</v>
      </c>
    </row>
    <row r="11" spans="2:3" x14ac:dyDescent="0.25">
      <c r="B11" s="10">
        <v>39</v>
      </c>
      <c r="C11" s="10">
        <v>28</v>
      </c>
    </row>
    <row r="12" spans="2:3" x14ac:dyDescent="0.25">
      <c r="B12" s="10">
        <v>60</v>
      </c>
      <c r="C12" s="10">
        <v>56</v>
      </c>
    </row>
    <row r="13" spans="2:3" x14ac:dyDescent="0.25">
      <c r="B13" s="10">
        <v>22</v>
      </c>
      <c r="C13" s="10">
        <v>18.75</v>
      </c>
    </row>
    <row r="14" spans="2:3" x14ac:dyDescent="0.25">
      <c r="B14" s="10">
        <v>21</v>
      </c>
      <c r="C14" s="10">
        <v>22</v>
      </c>
    </row>
    <row r="15" spans="2:3" x14ac:dyDescent="0.25">
      <c r="B15" s="10">
        <v>27</v>
      </c>
      <c r="C15" s="10">
        <v>18.5</v>
      </c>
    </row>
    <row r="16" spans="2:3" x14ac:dyDescent="0.25">
      <c r="B16" s="10">
        <v>22</v>
      </c>
      <c r="C16" s="10">
        <v>20</v>
      </c>
    </row>
    <row r="17" spans="2:3" x14ac:dyDescent="0.25">
      <c r="B17" s="10"/>
      <c r="C17" s="10"/>
    </row>
    <row r="18" spans="2:3" x14ac:dyDescent="0.25">
      <c r="B18" s="10">
        <v>28</v>
      </c>
      <c r="C18" s="10">
        <v>23.5</v>
      </c>
    </row>
    <row r="19" spans="2:3" x14ac:dyDescent="0.25">
      <c r="B19" s="10">
        <v>44</v>
      </c>
      <c r="C19" s="10">
        <v>33.5</v>
      </c>
    </row>
  </sheetData>
  <mergeCells count="1">
    <mergeCell ref="B3:C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57DB-8271-4736-BDFB-DE84A3F55B1B}">
  <dimension ref="B3:H20"/>
  <sheetViews>
    <sheetView workbookViewId="0">
      <selection activeCell="L5" sqref="L5"/>
    </sheetView>
  </sheetViews>
  <sheetFormatPr defaultRowHeight="15" x14ac:dyDescent="0.25"/>
  <sheetData>
    <row r="3" spans="2:8" x14ac:dyDescent="0.25">
      <c r="B3" s="157" t="s">
        <v>398</v>
      </c>
      <c r="C3" s="157"/>
      <c r="D3" s="157"/>
      <c r="E3" s="157"/>
      <c r="F3" s="157"/>
      <c r="G3" s="157"/>
      <c r="H3" s="157"/>
    </row>
    <row r="4" spans="2:8" x14ac:dyDescent="0.25">
      <c r="B4" s="5" t="s">
        <v>399</v>
      </c>
      <c r="C4" s="5" t="s">
        <v>400</v>
      </c>
      <c r="D4" s="5" t="s">
        <v>401</v>
      </c>
      <c r="E4" s="5" t="s">
        <v>402</v>
      </c>
      <c r="F4" s="5" t="s">
        <v>403</v>
      </c>
      <c r="G4" s="5" t="s">
        <v>404</v>
      </c>
      <c r="H4" s="5" t="s">
        <v>405</v>
      </c>
    </row>
    <row r="5" spans="2:8" x14ac:dyDescent="0.25">
      <c r="B5" s="6">
        <v>203</v>
      </c>
      <c r="C5" s="6">
        <v>332</v>
      </c>
      <c r="D5" s="6"/>
      <c r="E5" s="6"/>
      <c r="F5" s="6"/>
      <c r="G5" s="6"/>
      <c r="H5" s="6"/>
    </row>
    <row r="6" spans="2:8" x14ac:dyDescent="0.25">
      <c r="B6" s="6">
        <v>488</v>
      </c>
      <c r="C6" s="6"/>
      <c r="D6" s="6">
        <v>464</v>
      </c>
      <c r="E6" s="6"/>
      <c r="F6" s="6">
        <v>318</v>
      </c>
      <c r="G6" s="6">
        <v>506</v>
      </c>
      <c r="H6" s="6">
        <v>485</v>
      </c>
    </row>
    <row r="7" spans="2:8" x14ac:dyDescent="0.25">
      <c r="B7" s="6">
        <v>255</v>
      </c>
      <c r="C7" s="6"/>
      <c r="D7" s="6"/>
      <c r="E7" s="6"/>
      <c r="F7" s="6"/>
      <c r="G7" s="6"/>
      <c r="H7" s="6">
        <v>437</v>
      </c>
    </row>
    <row r="8" spans="2:8" x14ac:dyDescent="0.25">
      <c r="B8" s="6">
        <v>144</v>
      </c>
      <c r="C8" s="6"/>
      <c r="D8" s="6">
        <v>426</v>
      </c>
      <c r="E8" s="6"/>
      <c r="F8" s="6"/>
      <c r="G8" s="6">
        <v>333</v>
      </c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6">
        <v>184</v>
      </c>
      <c r="C10" s="6"/>
      <c r="D10" s="6"/>
      <c r="E10" s="6">
        <v>208</v>
      </c>
      <c r="F10" s="6"/>
      <c r="G10" s="6"/>
      <c r="H10" s="6"/>
    </row>
    <row r="11" spans="2:8" x14ac:dyDescent="0.25">
      <c r="B11" s="6">
        <v>235</v>
      </c>
      <c r="C11" s="6">
        <v>367</v>
      </c>
      <c r="D11" s="6">
        <v>311</v>
      </c>
      <c r="E11" s="6"/>
      <c r="F11" s="6"/>
      <c r="G11" s="6"/>
      <c r="H11" s="6"/>
    </row>
    <row r="12" spans="2:8" x14ac:dyDescent="0.25">
      <c r="B12" s="6">
        <v>197</v>
      </c>
      <c r="C12" s="6">
        <v>354</v>
      </c>
      <c r="D12" s="6">
        <v>332</v>
      </c>
      <c r="E12" s="6">
        <v>402</v>
      </c>
      <c r="F12" s="6"/>
      <c r="G12" s="6"/>
      <c r="H12" s="6"/>
    </row>
    <row r="13" spans="2:8" x14ac:dyDescent="0.25">
      <c r="B13" s="6">
        <v>300</v>
      </c>
      <c r="C13" s="6"/>
      <c r="D13" s="6">
        <v>234</v>
      </c>
      <c r="E13" s="6"/>
      <c r="F13" s="6"/>
      <c r="G13" s="6">
        <v>183</v>
      </c>
      <c r="H13" s="6">
        <v>252</v>
      </c>
    </row>
    <row r="14" spans="2:8" x14ac:dyDescent="0.25">
      <c r="B14" s="6">
        <v>381</v>
      </c>
      <c r="C14" s="6">
        <v>225</v>
      </c>
      <c r="D14" s="6"/>
      <c r="E14" s="6">
        <v>383</v>
      </c>
      <c r="F14" s="6"/>
      <c r="G14" s="6">
        <v>481</v>
      </c>
      <c r="H14" s="6">
        <v>374</v>
      </c>
    </row>
    <row r="15" spans="2:8" x14ac:dyDescent="0.25">
      <c r="B15" s="6">
        <v>437</v>
      </c>
      <c r="C15" s="6">
        <v>512</v>
      </c>
      <c r="D15" s="6">
        <v>323</v>
      </c>
      <c r="E15" s="6">
        <v>488</v>
      </c>
      <c r="F15" s="6">
        <v>272</v>
      </c>
      <c r="G15" s="6">
        <v>443</v>
      </c>
      <c r="H15" s="6">
        <v>405</v>
      </c>
    </row>
    <row r="16" spans="2:8" x14ac:dyDescent="0.25">
      <c r="B16" s="6">
        <v>156</v>
      </c>
      <c r="C16" s="6">
        <v>211</v>
      </c>
      <c r="D16" s="6">
        <v>240</v>
      </c>
      <c r="E16" s="6">
        <v>437</v>
      </c>
      <c r="F16" s="6"/>
      <c r="G16" s="6">
        <v>352</v>
      </c>
      <c r="H16" s="6"/>
    </row>
    <row r="17" spans="2:8" x14ac:dyDescent="0.25">
      <c r="B17" s="6">
        <v>99</v>
      </c>
      <c r="C17" s="6">
        <v>343</v>
      </c>
      <c r="D17" s="6">
        <v>243</v>
      </c>
      <c r="E17" s="6">
        <v>256</v>
      </c>
      <c r="F17" s="6">
        <v>230</v>
      </c>
      <c r="G17" s="6"/>
      <c r="H17" s="6">
        <v>189</v>
      </c>
    </row>
    <row r="18" spans="2:8" x14ac:dyDescent="0.25">
      <c r="B18" s="6">
        <v>352</v>
      </c>
      <c r="C18" s="6"/>
      <c r="D18" s="6"/>
      <c r="E18" s="6"/>
      <c r="F18" s="6"/>
      <c r="G18" s="6"/>
      <c r="H18" s="6">
        <v>331</v>
      </c>
    </row>
    <row r="19" spans="2:8" x14ac:dyDescent="0.25">
      <c r="B19" s="6">
        <v>127</v>
      </c>
      <c r="C19" s="6"/>
      <c r="D19" s="6"/>
      <c r="E19" s="6">
        <v>329</v>
      </c>
      <c r="F19" s="6"/>
      <c r="G19" s="6"/>
      <c r="H19" s="6"/>
    </row>
    <row r="20" spans="2:8" x14ac:dyDescent="0.25">
      <c r="B20" s="6">
        <v>111</v>
      </c>
      <c r="C20" s="6"/>
      <c r="D20" s="6"/>
      <c r="E20" s="6">
        <v>171</v>
      </c>
      <c r="F20" s="6"/>
      <c r="G20" s="6"/>
      <c r="H20" s="6"/>
    </row>
  </sheetData>
  <mergeCells count="1">
    <mergeCell ref="B3:H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8053-5A38-49FA-B409-097A88D6FC6D}">
  <dimension ref="B4:P7"/>
  <sheetViews>
    <sheetView workbookViewId="0">
      <selection activeCell="D10" sqref="D10"/>
    </sheetView>
  </sheetViews>
  <sheetFormatPr defaultRowHeight="15" x14ac:dyDescent="0.25"/>
  <cols>
    <col min="2" max="2" width="23.140625" customWidth="1"/>
  </cols>
  <sheetData>
    <row r="4" spans="2:16" x14ac:dyDescent="0.25">
      <c r="C4" s="157" t="s">
        <v>406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</row>
    <row r="5" spans="2:16" s="1" customFormat="1" x14ac:dyDescent="0.25">
      <c r="B5" s="5"/>
      <c r="C5" s="158" t="s">
        <v>390</v>
      </c>
      <c r="D5" s="158"/>
      <c r="E5" s="158"/>
      <c r="F5" s="158"/>
      <c r="G5" s="158"/>
      <c r="H5" s="158"/>
      <c r="I5" s="158"/>
      <c r="J5" s="158" t="s">
        <v>391</v>
      </c>
      <c r="K5" s="158"/>
      <c r="L5" s="158"/>
      <c r="M5" s="158"/>
      <c r="N5" s="158"/>
      <c r="O5" s="158"/>
      <c r="P5" s="158"/>
    </row>
    <row r="6" spans="2:16" x14ac:dyDescent="0.25">
      <c r="B6" s="8" t="s">
        <v>392</v>
      </c>
      <c r="C6" s="6">
        <v>7.1</v>
      </c>
      <c r="D6" s="6">
        <v>7.5</v>
      </c>
      <c r="E6" s="6">
        <v>3.7</v>
      </c>
      <c r="F6" s="6">
        <v>6.4</v>
      </c>
      <c r="G6" s="6">
        <v>5.2</v>
      </c>
      <c r="H6" s="6">
        <v>6.64</v>
      </c>
      <c r="I6" s="6">
        <v>5.65</v>
      </c>
      <c r="J6" s="6">
        <v>3.8</v>
      </c>
      <c r="K6" s="6">
        <v>4.2</v>
      </c>
      <c r="L6" s="6">
        <v>4</v>
      </c>
      <c r="M6" s="6">
        <v>4.9000000000000004</v>
      </c>
      <c r="N6" s="6">
        <v>4.3</v>
      </c>
      <c r="O6" s="6">
        <v>5.2</v>
      </c>
      <c r="P6" s="6">
        <v>6.6</v>
      </c>
    </row>
    <row r="7" spans="2:16" x14ac:dyDescent="0.25">
      <c r="B7" s="8" t="s">
        <v>393</v>
      </c>
      <c r="C7" s="6">
        <v>3.89</v>
      </c>
      <c r="D7" s="6">
        <v>4.82</v>
      </c>
      <c r="E7" s="6">
        <v>2.72</v>
      </c>
      <c r="F7" s="6">
        <v>2.52</v>
      </c>
      <c r="G7" s="6">
        <v>4.17</v>
      </c>
      <c r="H7" s="6">
        <v>3.43</v>
      </c>
      <c r="I7" s="6">
        <v>4.12</v>
      </c>
      <c r="J7" s="6">
        <v>2.64</v>
      </c>
      <c r="K7" s="6">
        <v>2.5</v>
      </c>
      <c r="L7" s="6">
        <v>2.38</v>
      </c>
      <c r="M7" s="6">
        <v>3.04</v>
      </c>
      <c r="N7" s="6">
        <v>1.69</v>
      </c>
      <c r="O7" s="6">
        <v>2.87</v>
      </c>
      <c r="P7" s="6">
        <v>5.27</v>
      </c>
    </row>
  </sheetData>
  <mergeCells count="3">
    <mergeCell ref="C5:I5"/>
    <mergeCell ref="J5:P5"/>
    <mergeCell ref="C4:P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3264-63CA-4E3F-937D-98DB68576D53}">
  <dimension ref="B4:C21"/>
  <sheetViews>
    <sheetView workbookViewId="0">
      <selection activeCell="L33" sqref="L33"/>
    </sheetView>
  </sheetViews>
  <sheetFormatPr defaultRowHeight="15" x14ac:dyDescent="0.25"/>
  <cols>
    <col min="2" max="2" width="12.140625" customWidth="1"/>
    <col min="3" max="3" width="24" customWidth="1"/>
  </cols>
  <sheetData>
    <row r="4" spans="2:3" x14ac:dyDescent="0.25">
      <c r="B4" s="157" t="s">
        <v>407</v>
      </c>
      <c r="C4" s="157"/>
    </row>
    <row r="5" spans="2:3" x14ac:dyDescent="0.25">
      <c r="B5" s="5" t="s">
        <v>392</v>
      </c>
      <c r="C5" s="5" t="s">
        <v>393</v>
      </c>
    </row>
    <row r="6" spans="2:3" x14ac:dyDescent="0.25">
      <c r="B6" s="10">
        <v>6.2374245469999998</v>
      </c>
      <c r="C6" s="10">
        <v>14.586206900000001</v>
      </c>
    </row>
    <row r="7" spans="2:3" x14ac:dyDescent="0.25">
      <c r="B7" s="10">
        <v>5.7633333330000003</v>
      </c>
      <c r="C7" s="10"/>
    </row>
    <row r="8" spans="2:3" x14ac:dyDescent="0.25">
      <c r="B8" s="10">
        <v>8.8044787650000007</v>
      </c>
      <c r="C8" s="10">
        <v>15.808695650000001</v>
      </c>
    </row>
    <row r="9" spans="2:3" x14ac:dyDescent="0.25">
      <c r="B9" s="10">
        <v>5.6640625</v>
      </c>
      <c r="C9" s="10">
        <v>17.21938776</v>
      </c>
    </row>
    <row r="10" spans="2:3" x14ac:dyDescent="0.25">
      <c r="B10" s="10">
        <v>8.3333333330000006</v>
      </c>
      <c r="C10" s="10"/>
    </row>
    <row r="11" spans="2:3" x14ac:dyDescent="0.25">
      <c r="B11" s="10"/>
      <c r="C11" s="10"/>
    </row>
    <row r="12" spans="2:3" x14ac:dyDescent="0.25">
      <c r="B12" s="10"/>
      <c r="C12" s="10"/>
    </row>
    <row r="13" spans="2:3" x14ac:dyDescent="0.25">
      <c r="B13" s="10">
        <v>9.7333333329999991</v>
      </c>
      <c r="C13" s="10">
        <v>10.049764890000001</v>
      </c>
    </row>
    <row r="14" spans="2:3" x14ac:dyDescent="0.25">
      <c r="B14" s="10">
        <v>9.3609022559999993</v>
      </c>
      <c r="C14" s="10"/>
    </row>
    <row r="15" spans="2:3" x14ac:dyDescent="0.25">
      <c r="B15" s="10">
        <v>12.78195489</v>
      </c>
      <c r="C15" s="10">
        <v>27.023350149999999</v>
      </c>
    </row>
    <row r="16" spans="2:3" x14ac:dyDescent="0.25">
      <c r="B16" s="10">
        <v>7.59375</v>
      </c>
      <c r="C16" s="10"/>
    </row>
    <row r="17" spans="2:3" x14ac:dyDescent="0.25">
      <c r="B17" s="10">
        <v>6.0869565220000004</v>
      </c>
      <c r="C17" s="10">
        <v>14.23851176</v>
      </c>
    </row>
    <row r="18" spans="2:3" x14ac:dyDescent="0.25">
      <c r="B18" s="10">
        <v>8.7441860469999995</v>
      </c>
      <c r="C18" s="10">
        <v>27.25961539</v>
      </c>
    </row>
    <row r="19" spans="2:3" x14ac:dyDescent="0.25">
      <c r="B19" s="10"/>
      <c r="C19" s="10"/>
    </row>
    <row r="20" spans="2:3" x14ac:dyDescent="0.25">
      <c r="B20" s="10">
        <v>7.884615385</v>
      </c>
      <c r="C20" s="10">
        <v>14.75643131</v>
      </c>
    </row>
    <row r="21" spans="2:3" x14ac:dyDescent="0.25">
      <c r="B21" s="10">
        <v>4.2154742880000002</v>
      </c>
      <c r="C21" s="10">
        <v>9.8178506379999995</v>
      </c>
    </row>
  </sheetData>
  <mergeCells count="1">
    <mergeCell ref="B4:C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31011-4EC0-45B9-AE19-28B063541B87}">
  <dimension ref="B3:D8"/>
  <sheetViews>
    <sheetView workbookViewId="0">
      <selection activeCell="M14" sqref="M14"/>
    </sheetView>
  </sheetViews>
  <sheetFormatPr defaultRowHeight="15" x14ac:dyDescent="0.25"/>
  <cols>
    <col min="2" max="2" width="13.28515625" customWidth="1"/>
    <col min="3" max="3" width="22.85546875" customWidth="1"/>
    <col min="4" max="4" width="21.85546875" customWidth="1"/>
  </cols>
  <sheetData>
    <row r="3" spans="2:4" x14ac:dyDescent="0.25">
      <c r="B3" s="5" t="s">
        <v>16</v>
      </c>
      <c r="C3" s="5" t="s">
        <v>408</v>
      </c>
      <c r="D3" s="5" t="s">
        <v>409</v>
      </c>
    </row>
    <row r="4" spans="2:4" x14ac:dyDescent="0.25">
      <c r="B4" s="10">
        <v>1.323529</v>
      </c>
      <c r="C4" s="10">
        <v>3.7917179999999999</v>
      </c>
      <c r="D4" s="10">
        <v>4.606732</v>
      </c>
    </row>
    <row r="5" spans="2:4" x14ac:dyDescent="0.25">
      <c r="B5" s="10">
        <v>0.81617600000000001</v>
      </c>
      <c r="C5" s="10">
        <v>2.6153689999999998</v>
      </c>
      <c r="D5" s="10">
        <v>3.7333970000000001</v>
      </c>
    </row>
    <row r="6" spans="2:4" x14ac:dyDescent="0.25">
      <c r="B6" s="10">
        <v>1.25</v>
      </c>
      <c r="C6" s="10">
        <v>3.1891579999999999</v>
      </c>
      <c r="D6" s="10">
        <v>4.6855169999999999</v>
      </c>
    </row>
    <row r="7" spans="2:4" x14ac:dyDescent="0.25">
      <c r="B7" s="10">
        <v>0.91911799999999999</v>
      </c>
      <c r="C7" s="10">
        <v>1.816176</v>
      </c>
      <c r="D7" s="10">
        <v>2.3897059999999999</v>
      </c>
    </row>
    <row r="8" spans="2:4" x14ac:dyDescent="0.25">
      <c r="B8" s="10">
        <v>0.69117600000000001</v>
      </c>
      <c r="C8" s="10">
        <v>4.6691180000000001</v>
      </c>
      <c r="D8" s="10">
        <v>4.9693620000000003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3C72F-FF71-46BF-A073-E359AE15A6C6}">
  <dimension ref="A3:M40"/>
  <sheetViews>
    <sheetView topLeftCell="A10" workbookViewId="0">
      <selection activeCell="D45" sqref="D45"/>
    </sheetView>
  </sheetViews>
  <sheetFormatPr defaultRowHeight="15" x14ac:dyDescent="0.25"/>
  <cols>
    <col min="1" max="1" width="4.28515625" customWidth="1"/>
    <col min="2" max="2" width="12.85546875" customWidth="1"/>
    <col min="4" max="4" width="11.5703125" bestFit="1" customWidth="1"/>
    <col min="5" max="5" width="7.28515625" customWidth="1"/>
  </cols>
  <sheetData>
    <row r="3" spans="1:13" x14ac:dyDescent="0.25">
      <c r="A3" t="s">
        <v>116</v>
      </c>
    </row>
    <row r="4" spans="1:13" x14ac:dyDescent="0.25">
      <c r="A4" t="s">
        <v>31</v>
      </c>
    </row>
    <row r="5" spans="1:13" x14ac:dyDescent="0.25">
      <c r="A5" t="s">
        <v>410</v>
      </c>
    </row>
    <row r="6" spans="1:13" x14ac:dyDescent="0.25">
      <c r="A6" t="s">
        <v>411</v>
      </c>
    </row>
    <row r="7" spans="1:13" x14ac:dyDescent="0.25">
      <c r="A7" t="s">
        <v>412</v>
      </c>
    </row>
    <row r="8" spans="1:13" x14ac:dyDescent="0.25">
      <c r="A8" t="s">
        <v>413</v>
      </c>
    </row>
    <row r="9" spans="1:13" x14ac:dyDescent="0.25">
      <c r="A9" t="s">
        <v>125</v>
      </c>
      <c r="D9" t="s">
        <v>126</v>
      </c>
    </row>
    <row r="13" spans="1:13" x14ac:dyDescent="0.25">
      <c r="B13" t="s">
        <v>414</v>
      </c>
      <c r="D13" s="3" t="s">
        <v>40</v>
      </c>
      <c r="E13" s="3"/>
    </row>
    <row r="14" spans="1:13" x14ac:dyDescent="0.25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  <c r="L14" s="11">
        <v>11</v>
      </c>
      <c r="M14" s="11">
        <v>12</v>
      </c>
    </row>
    <row r="15" spans="1:13" x14ac:dyDescent="0.25">
      <c r="A15" s="11" t="s">
        <v>38</v>
      </c>
      <c r="B15" s="12">
        <v>0.52200000000000002</v>
      </c>
      <c r="C15" s="13">
        <v>0.52800000000000002</v>
      </c>
      <c r="D15" s="104">
        <v>0.114</v>
      </c>
      <c r="E15" s="104">
        <v>0.114</v>
      </c>
      <c r="F15" s="13">
        <v>0.107</v>
      </c>
      <c r="G15" s="13">
        <v>0.107</v>
      </c>
      <c r="H15" s="13" t="s">
        <v>42</v>
      </c>
      <c r="I15" s="13"/>
      <c r="J15" s="13"/>
      <c r="K15" s="13"/>
      <c r="L15" s="13"/>
      <c r="M15" s="14"/>
    </row>
    <row r="16" spans="1:13" x14ac:dyDescent="0.25">
      <c r="A16" s="11" t="s">
        <v>40</v>
      </c>
      <c r="B16" s="15"/>
      <c r="C16" s="16"/>
      <c r="D16" s="125">
        <v>0.11305649299999999</v>
      </c>
      <c r="E16" s="125">
        <v>0.115133423</v>
      </c>
      <c r="F16" s="16">
        <v>0.107</v>
      </c>
      <c r="G16" s="16">
        <v>0.107</v>
      </c>
      <c r="H16" s="16"/>
      <c r="I16" s="16"/>
      <c r="J16" s="16"/>
      <c r="K16" s="16"/>
      <c r="L16" s="16"/>
      <c r="M16" s="17"/>
    </row>
    <row r="17" spans="1:13" x14ac:dyDescent="0.25">
      <c r="A17" s="11" t="s">
        <v>41</v>
      </c>
      <c r="B17" s="15">
        <v>0.11</v>
      </c>
      <c r="C17" s="16">
        <v>0.109</v>
      </c>
      <c r="D17" s="125">
        <v>0.113978538</v>
      </c>
      <c r="E17" s="125">
        <v>0.116211378</v>
      </c>
      <c r="F17" s="16">
        <v>0.106</v>
      </c>
      <c r="G17" s="16">
        <v>0.108</v>
      </c>
      <c r="H17" s="16"/>
      <c r="I17" s="16"/>
      <c r="K17" s="16"/>
      <c r="L17" s="16"/>
      <c r="M17" s="17"/>
    </row>
    <row r="18" spans="1:13" x14ac:dyDescent="0.25">
      <c r="A18" s="11" t="s">
        <v>42</v>
      </c>
      <c r="B18" s="15"/>
      <c r="C18" s="16"/>
      <c r="E18" s="16"/>
      <c r="F18" s="16"/>
      <c r="G18" s="16"/>
      <c r="H18" s="16"/>
      <c r="I18" s="16"/>
      <c r="K18" s="16"/>
      <c r="L18" s="16"/>
      <c r="M18" s="17"/>
    </row>
    <row r="19" spans="1:13" x14ac:dyDescent="0.25">
      <c r="A19" s="11" t="s">
        <v>43</v>
      </c>
      <c r="B19" s="15">
        <v>0.107</v>
      </c>
      <c r="C19" s="16">
        <v>0.107</v>
      </c>
      <c r="D19" s="16">
        <v>0.10199999999999999</v>
      </c>
      <c r="E19" s="16">
        <v>0.10299999999999999</v>
      </c>
      <c r="F19" s="16">
        <v>0.106</v>
      </c>
      <c r="G19" s="16">
        <v>0.108</v>
      </c>
      <c r="H19" s="16" t="s">
        <v>415</v>
      </c>
      <c r="I19" s="16"/>
      <c r="J19" s="16"/>
      <c r="K19" s="16"/>
      <c r="L19" s="16"/>
      <c r="M19" s="17"/>
    </row>
    <row r="20" spans="1:13" x14ac:dyDescent="0.25">
      <c r="A20" s="11" t="s">
        <v>44</v>
      </c>
      <c r="B20" s="15">
        <v>0.106</v>
      </c>
      <c r="C20" s="16">
        <v>0.108</v>
      </c>
      <c r="D20" s="16">
        <v>0.10100000000000001</v>
      </c>
      <c r="E20" s="16">
        <v>0.10199999999999999</v>
      </c>
      <c r="F20" s="16"/>
      <c r="G20" s="16">
        <v>0.12</v>
      </c>
      <c r="H20" s="16"/>
      <c r="I20" s="16"/>
      <c r="J20" s="16"/>
      <c r="K20" s="16"/>
      <c r="L20" s="16"/>
      <c r="M20" s="17"/>
    </row>
    <row r="21" spans="1:13" x14ac:dyDescent="0.25">
      <c r="A21" s="11" t="s">
        <v>45</v>
      </c>
      <c r="B21" s="15">
        <v>0.108</v>
      </c>
      <c r="C21" s="16">
        <v>0.106</v>
      </c>
      <c r="D21" s="16">
        <v>0.10299999999999999</v>
      </c>
      <c r="E21" s="16">
        <v>0.10199999999999999</v>
      </c>
      <c r="F21" s="16"/>
      <c r="G21" s="16">
        <v>0.11899999999999999</v>
      </c>
      <c r="H21" s="16"/>
      <c r="I21" s="16"/>
      <c r="J21" s="16"/>
      <c r="K21" s="16"/>
      <c r="L21" s="16"/>
      <c r="M21" s="17"/>
    </row>
    <row r="22" spans="1:13" x14ac:dyDescent="0.25">
      <c r="A22" s="11" t="s">
        <v>46</v>
      </c>
      <c r="B22" s="18" t="s">
        <v>38</v>
      </c>
      <c r="C22" s="19"/>
      <c r="D22" s="19" t="s">
        <v>41</v>
      </c>
      <c r="E22" s="19"/>
      <c r="F22" s="19"/>
      <c r="G22" s="19">
        <v>0.11899999999999999</v>
      </c>
      <c r="H22" s="19"/>
      <c r="I22" s="19"/>
      <c r="J22" s="19"/>
      <c r="K22" s="19"/>
      <c r="L22" s="19"/>
      <c r="M22" s="20"/>
    </row>
    <row r="23" spans="1:13" x14ac:dyDescent="0.25">
      <c r="F23" t="s">
        <v>416</v>
      </c>
    </row>
    <row r="24" spans="1:13" x14ac:dyDescent="0.25">
      <c r="F24" t="s">
        <v>316</v>
      </c>
      <c r="G24" t="s">
        <v>417</v>
      </c>
    </row>
    <row r="25" spans="1:13" x14ac:dyDescent="0.25">
      <c r="B25" s="159" t="s">
        <v>27</v>
      </c>
      <c r="C25" s="11">
        <v>1</v>
      </c>
      <c r="D25">
        <f>AVERAGE(B19:C19)</f>
        <v>0.107</v>
      </c>
      <c r="E25">
        <f>10*(D25-0.107)/(0.525-0.107)</f>
        <v>0</v>
      </c>
      <c r="F25">
        <f>E25*50</f>
        <v>0</v>
      </c>
      <c r="G25">
        <f>F25*1785/30</f>
        <v>0</v>
      </c>
      <c r="K25" s="1" t="s">
        <v>418</v>
      </c>
    </row>
    <row r="26" spans="1:13" x14ac:dyDescent="0.25">
      <c r="B26" s="159"/>
      <c r="C26" s="11">
        <v>2</v>
      </c>
      <c r="D26">
        <f>AVERAGE(B20:C20)</f>
        <v>0.107</v>
      </c>
      <c r="E26">
        <f t="shared" ref="E26:E36" si="0">10*(D26-0.107)/(0.525-0.107)</f>
        <v>0</v>
      </c>
      <c r="F26">
        <f t="shared" ref="F26:F36" si="1">E26*50</f>
        <v>0</v>
      </c>
      <c r="G26">
        <f t="shared" ref="G26:G36" si="2">F26*1785/30</f>
        <v>0</v>
      </c>
      <c r="J26" s="23" t="s">
        <v>38</v>
      </c>
      <c r="K26" t="s">
        <v>419</v>
      </c>
    </row>
    <row r="27" spans="1:13" x14ac:dyDescent="0.25">
      <c r="B27" s="159"/>
      <c r="C27" s="11">
        <v>3</v>
      </c>
      <c r="D27">
        <f>AVERAGE(B21:C21)</f>
        <v>0.107</v>
      </c>
      <c r="E27">
        <f t="shared" si="0"/>
        <v>0</v>
      </c>
      <c r="F27">
        <f t="shared" si="1"/>
        <v>0</v>
      </c>
      <c r="G27">
        <f t="shared" si="2"/>
        <v>0</v>
      </c>
      <c r="J27" s="23" t="s">
        <v>40</v>
      </c>
      <c r="K27" t="s">
        <v>420</v>
      </c>
    </row>
    <row r="28" spans="1:13" x14ac:dyDescent="0.25">
      <c r="B28" s="159" t="s">
        <v>30</v>
      </c>
      <c r="C28" s="11">
        <v>1</v>
      </c>
      <c r="D28">
        <f>AVERAGE(D15:E15)</f>
        <v>0.114</v>
      </c>
      <c r="E28">
        <f>10*(D28-0.107)/(0.525-0.107)</f>
        <v>0.16746411483253601</v>
      </c>
      <c r="F28">
        <f t="shared" si="1"/>
        <v>8.3732057416268013</v>
      </c>
      <c r="G28">
        <f>F28*1785/30</f>
        <v>498.20574162679463</v>
      </c>
      <c r="J28" s="23" t="s">
        <v>41</v>
      </c>
      <c r="K28" t="s">
        <v>421</v>
      </c>
    </row>
    <row r="29" spans="1:13" x14ac:dyDescent="0.25">
      <c r="B29" s="159"/>
      <c r="C29" s="11">
        <v>2</v>
      </c>
      <c r="D29">
        <f>AVERAGE(D16:E16)</f>
        <v>0.114094958</v>
      </c>
      <c r="E29">
        <f t="shared" si="0"/>
        <v>0.16973583732057412</v>
      </c>
      <c r="F29">
        <f t="shared" si="1"/>
        <v>8.4867918660287067</v>
      </c>
      <c r="G29">
        <f t="shared" si="2"/>
        <v>504.96411602870808</v>
      </c>
      <c r="J29" s="23" t="s">
        <v>42</v>
      </c>
      <c r="K29" t="s">
        <v>422</v>
      </c>
    </row>
    <row r="30" spans="1:13" x14ac:dyDescent="0.25">
      <c r="B30" s="159"/>
      <c r="C30" s="11">
        <v>3</v>
      </c>
      <c r="D30">
        <f>AVERAGE(D17:E17)</f>
        <v>0.115094958</v>
      </c>
      <c r="E30">
        <f t="shared" si="0"/>
        <v>0.19365928229665069</v>
      </c>
      <c r="F30">
        <f t="shared" si="1"/>
        <v>9.6829641148325347</v>
      </c>
      <c r="G30">
        <f t="shared" si="2"/>
        <v>576.13636483253572</v>
      </c>
    </row>
    <row r="31" spans="1:13" x14ac:dyDescent="0.25">
      <c r="B31" s="163" t="s">
        <v>423</v>
      </c>
      <c r="C31" s="11">
        <v>1</v>
      </c>
      <c r="D31">
        <f>AVERAGE(D19:E19)</f>
        <v>0.10249999999999999</v>
      </c>
      <c r="E31">
        <f t="shared" si="0"/>
        <v>-0.10765550239234459</v>
      </c>
      <c r="F31">
        <f t="shared" si="1"/>
        <v>-5.3827751196172295</v>
      </c>
      <c r="G31">
        <f t="shared" si="2"/>
        <v>-320.27511961722513</v>
      </c>
    </row>
    <row r="32" spans="1:13" x14ac:dyDescent="0.25">
      <c r="B32" s="163"/>
      <c r="C32" s="11">
        <v>2</v>
      </c>
      <c r="D32">
        <f>AVERAGE(D20:E20)</f>
        <v>0.10150000000000001</v>
      </c>
      <c r="E32">
        <f t="shared" si="0"/>
        <v>-0.13157894736842082</v>
      </c>
      <c r="F32">
        <f t="shared" si="1"/>
        <v>-6.5789473684210416</v>
      </c>
      <c r="G32">
        <f t="shared" si="2"/>
        <v>-391.44736842105192</v>
      </c>
    </row>
    <row r="33" spans="2:7" x14ac:dyDescent="0.25">
      <c r="B33" s="163"/>
      <c r="C33" s="11">
        <v>3</v>
      </c>
      <c r="D33">
        <f>AVERAGE(D21:E21)</f>
        <v>0.10249999999999999</v>
      </c>
      <c r="E33">
        <f t="shared" si="0"/>
        <v>-0.10765550239234459</v>
      </c>
      <c r="F33">
        <f t="shared" si="1"/>
        <v>-5.3827751196172295</v>
      </c>
      <c r="G33">
        <f t="shared" si="2"/>
        <v>-320.27511961722513</v>
      </c>
    </row>
    <row r="34" spans="2:7" x14ac:dyDescent="0.25">
      <c r="B34" s="163" t="s">
        <v>424</v>
      </c>
      <c r="C34" s="11">
        <v>1</v>
      </c>
      <c r="D34">
        <f>AVERAGE(F15:G15)</f>
        <v>0.107</v>
      </c>
      <c r="E34">
        <f t="shared" si="0"/>
        <v>0</v>
      </c>
      <c r="F34">
        <f t="shared" si="1"/>
        <v>0</v>
      </c>
      <c r="G34">
        <f t="shared" si="2"/>
        <v>0</v>
      </c>
    </row>
    <row r="35" spans="2:7" x14ac:dyDescent="0.25">
      <c r="B35" s="163"/>
      <c r="C35" s="11">
        <v>2</v>
      </c>
      <c r="D35">
        <f>AVERAGE(F16:G16)</f>
        <v>0.107</v>
      </c>
      <c r="E35">
        <f t="shared" si="0"/>
        <v>0</v>
      </c>
      <c r="F35">
        <f t="shared" si="1"/>
        <v>0</v>
      </c>
      <c r="G35">
        <f t="shared" si="2"/>
        <v>0</v>
      </c>
    </row>
    <row r="36" spans="2:7" x14ac:dyDescent="0.25">
      <c r="B36" s="163"/>
      <c r="C36" s="11">
        <v>3</v>
      </c>
      <c r="D36">
        <f>AVERAGE(F17:G17)</f>
        <v>0.107</v>
      </c>
      <c r="E36">
        <f t="shared" si="0"/>
        <v>0</v>
      </c>
      <c r="F36">
        <f t="shared" si="1"/>
        <v>0</v>
      </c>
      <c r="G36">
        <f t="shared" si="2"/>
        <v>0</v>
      </c>
    </row>
    <row r="39" spans="2:7" x14ac:dyDescent="0.25">
      <c r="B39" s="1" t="s">
        <v>425</v>
      </c>
      <c r="D39">
        <f>AVERAGE(B15:C15)</f>
        <v>0.52500000000000002</v>
      </c>
    </row>
    <row r="40" spans="2:7" x14ac:dyDescent="0.25">
      <c r="B40" s="1" t="s">
        <v>173</v>
      </c>
      <c r="C40" s="1"/>
      <c r="D40">
        <f>AVERAGE(F19:G19)</f>
        <v>0.107</v>
      </c>
    </row>
  </sheetData>
  <mergeCells count="4">
    <mergeCell ref="B25:B27"/>
    <mergeCell ref="B28:B30"/>
    <mergeCell ref="B31:B33"/>
    <mergeCell ref="B34:B36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DB1A-EC5F-4FF2-A50B-C8333D2EA2EE}">
  <dimension ref="B5:N7"/>
  <sheetViews>
    <sheetView workbookViewId="0">
      <selection activeCell="Q32" sqref="Q32"/>
    </sheetView>
  </sheetViews>
  <sheetFormatPr defaultRowHeight="15" x14ac:dyDescent="0.25"/>
  <cols>
    <col min="2" max="2" width="13.85546875" customWidth="1"/>
  </cols>
  <sheetData>
    <row r="5" spans="2:14" x14ac:dyDescent="0.25">
      <c r="B5" s="4"/>
      <c r="C5" s="158" t="s">
        <v>426</v>
      </c>
      <c r="D5" s="158"/>
      <c r="E5" s="158"/>
      <c r="F5" s="158"/>
      <c r="G5" s="158"/>
      <c r="H5" s="158"/>
      <c r="I5" s="158" t="s">
        <v>427</v>
      </c>
      <c r="J5" s="158"/>
      <c r="K5" s="158"/>
      <c r="L5" s="158"/>
      <c r="M5" s="158"/>
      <c r="N5" s="158"/>
    </row>
    <row r="6" spans="2:14" x14ac:dyDescent="0.25">
      <c r="B6" s="8" t="s">
        <v>27</v>
      </c>
      <c r="C6" s="6">
        <v>0.73854299999999995</v>
      </c>
      <c r="D6" s="6">
        <v>0.83359000000000005</v>
      </c>
      <c r="E6" s="6">
        <v>1.0879749999999999</v>
      </c>
      <c r="F6" s="6">
        <v>0.95875999999999995</v>
      </c>
      <c r="G6" s="6">
        <v>1.1104259999999999</v>
      </c>
      <c r="H6" s="6">
        <v>1.270707</v>
      </c>
      <c r="I6" s="6">
        <v>0.933006</v>
      </c>
      <c r="J6" s="6">
        <v>0.91841300000000003</v>
      </c>
      <c r="K6" s="6">
        <v>1.0355000000000001</v>
      </c>
      <c r="L6" s="6">
        <v>1.1130819999999999</v>
      </c>
      <c r="M6" s="6"/>
      <c r="N6" s="6"/>
    </row>
    <row r="7" spans="2:14" x14ac:dyDescent="0.25">
      <c r="B7" s="8" t="s">
        <v>30</v>
      </c>
      <c r="C7" s="6">
        <v>3.9330400000000001</v>
      </c>
      <c r="D7" s="6">
        <v>3.6566510000000001</v>
      </c>
      <c r="E7" s="6">
        <v>3.2813560000000002</v>
      </c>
      <c r="F7" s="6">
        <v>3.503657</v>
      </c>
      <c r="G7" s="6"/>
      <c r="H7" s="6"/>
      <c r="I7" s="6">
        <v>1.2254799999999999</v>
      </c>
      <c r="J7" s="6">
        <v>1.1342300000000001</v>
      </c>
      <c r="K7" s="6">
        <v>1.2712570000000001</v>
      </c>
      <c r="L7" s="6">
        <v>0.84587699999999999</v>
      </c>
      <c r="M7" s="6"/>
      <c r="N7" s="6"/>
    </row>
  </sheetData>
  <mergeCells count="2">
    <mergeCell ref="C5:H5"/>
    <mergeCell ref="I5:N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94A4-5E73-4CB0-9D1D-C21325B934FD}">
  <dimension ref="B4:AF6"/>
  <sheetViews>
    <sheetView topLeftCell="B1" workbookViewId="0">
      <selection activeCell="I9" sqref="I9"/>
    </sheetView>
  </sheetViews>
  <sheetFormatPr defaultRowHeight="15" x14ac:dyDescent="0.25"/>
  <cols>
    <col min="2" max="2" width="11.7109375" customWidth="1"/>
  </cols>
  <sheetData>
    <row r="4" spans="2:32" s="1" customFormat="1" x14ac:dyDescent="0.25">
      <c r="B4" s="7"/>
      <c r="C4" s="158" t="s">
        <v>16</v>
      </c>
      <c r="D4" s="158"/>
      <c r="E4" s="158"/>
      <c r="F4" s="158"/>
      <c r="G4" s="158"/>
      <c r="H4" s="158"/>
      <c r="I4" s="158" t="s">
        <v>11</v>
      </c>
      <c r="J4" s="158"/>
      <c r="K4" s="158"/>
      <c r="L4" s="158"/>
      <c r="M4" s="158"/>
      <c r="N4" s="158"/>
      <c r="O4" s="158" t="s">
        <v>101</v>
      </c>
      <c r="P4" s="158"/>
      <c r="Q4" s="158"/>
      <c r="R4" s="158"/>
      <c r="S4" s="158"/>
      <c r="T4" s="158"/>
      <c r="U4" s="158" t="s">
        <v>97</v>
      </c>
      <c r="V4" s="158"/>
      <c r="W4" s="158"/>
      <c r="X4" s="158"/>
      <c r="Y4" s="158"/>
      <c r="Z4" s="158"/>
      <c r="AA4" s="158" t="s">
        <v>102</v>
      </c>
      <c r="AB4" s="158"/>
      <c r="AC4" s="158"/>
      <c r="AD4" s="158"/>
      <c r="AE4" s="158"/>
      <c r="AF4" s="158"/>
    </row>
    <row r="5" spans="2:32" x14ac:dyDescent="0.25">
      <c r="B5" s="8" t="s">
        <v>13</v>
      </c>
      <c r="C5" s="178">
        <v>1.277018</v>
      </c>
      <c r="D5" s="178">
        <v>1.3756429999999999</v>
      </c>
      <c r="E5" s="178">
        <v>1.5767310000000001</v>
      </c>
      <c r="F5" s="4"/>
      <c r="G5" s="4"/>
      <c r="H5" s="6"/>
      <c r="I5" s="6">
        <v>9.354025</v>
      </c>
      <c r="J5" s="6">
        <v>4.7756819999999998</v>
      </c>
      <c r="K5" s="6">
        <v>4.2508400000000002</v>
      </c>
      <c r="L5" s="6">
        <v>6.0748119999999997</v>
      </c>
      <c r="N5" s="6"/>
      <c r="O5" s="6">
        <v>1.811501</v>
      </c>
      <c r="P5" s="6">
        <v>0.69291899999999995</v>
      </c>
      <c r="Q5" s="6">
        <v>2.1258439999999998</v>
      </c>
      <c r="T5" s="6"/>
      <c r="U5" s="6">
        <v>5.2989300000000004</v>
      </c>
      <c r="V5" s="6">
        <v>6.0902289999999999</v>
      </c>
      <c r="W5" s="6">
        <v>5.7510969999999997</v>
      </c>
      <c r="X5" s="4"/>
      <c r="Y5" s="4"/>
      <c r="Z5" s="6"/>
      <c r="AA5" s="6">
        <v>5.0193279999999998</v>
      </c>
      <c r="AB5" s="6">
        <v>6.286314</v>
      </c>
      <c r="AC5" s="6">
        <v>5.8474750000000002</v>
      </c>
      <c r="AD5" s="6">
        <v>5.6740120000000003</v>
      </c>
      <c r="AE5" s="4"/>
      <c r="AF5" s="6"/>
    </row>
    <row r="6" spans="2:32" x14ac:dyDescent="0.25">
      <c r="B6" s="9" t="s">
        <v>63</v>
      </c>
      <c r="C6" s="6">
        <v>8.8447809999999993</v>
      </c>
      <c r="D6" s="6">
        <v>6.3625619999999996</v>
      </c>
      <c r="E6" s="6">
        <v>9.0797899999999991</v>
      </c>
      <c r="F6" s="6">
        <v>9.6802799999999998</v>
      </c>
      <c r="G6" s="6"/>
      <c r="H6" s="6"/>
      <c r="I6" s="6">
        <v>6.0070839999999999</v>
      </c>
      <c r="J6" s="6">
        <v>5.4986360000000003</v>
      </c>
      <c r="K6" s="6">
        <v>7.1026999999999996</v>
      </c>
      <c r="L6" s="6">
        <v>8.0442049999999998</v>
      </c>
      <c r="M6" s="6"/>
      <c r="N6" s="6"/>
      <c r="O6" s="6">
        <v>6.0421100000000001</v>
      </c>
      <c r="P6" s="6">
        <v>4.4786130000000002</v>
      </c>
      <c r="Q6" s="6">
        <v>8.3553320000000006</v>
      </c>
      <c r="R6" s="6">
        <v>6.9340710000000003</v>
      </c>
      <c r="S6" s="6">
        <v>7.0402449999999996</v>
      </c>
      <c r="T6" s="6">
        <v>7.9794890000000001</v>
      </c>
      <c r="U6" s="6">
        <v>8.2710229999999996</v>
      </c>
      <c r="V6" s="6">
        <v>5.2060459999999997</v>
      </c>
      <c r="W6" s="6">
        <v>10.76768</v>
      </c>
      <c r="X6" s="4"/>
      <c r="Y6" s="4"/>
      <c r="Z6" s="6"/>
      <c r="AA6" s="6">
        <v>8.9123560000000008</v>
      </c>
      <c r="AB6" s="6">
        <v>5.5435319999999999</v>
      </c>
      <c r="AC6" s="6">
        <v>6.9108900000000002</v>
      </c>
      <c r="AD6" s="6">
        <v>4.7807219999999999</v>
      </c>
      <c r="AE6" s="4"/>
      <c r="AF6" s="6"/>
    </row>
  </sheetData>
  <mergeCells count="5">
    <mergeCell ref="C4:H4"/>
    <mergeCell ref="I4:N4"/>
    <mergeCell ref="O4:T4"/>
    <mergeCell ref="U4:Z4"/>
    <mergeCell ref="AA4:AF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197DF-F581-47A5-A3C0-722600A0A1D7}">
  <dimension ref="B4:N10"/>
  <sheetViews>
    <sheetView workbookViewId="0">
      <selection activeCell="J19" sqref="J19"/>
    </sheetView>
  </sheetViews>
  <sheetFormatPr defaultRowHeight="15" x14ac:dyDescent="0.25"/>
  <sheetData>
    <row r="4" spans="2:14" x14ac:dyDescent="0.25">
      <c r="B4" s="7"/>
      <c r="C4" s="157" t="s">
        <v>13</v>
      </c>
      <c r="D4" s="157"/>
      <c r="E4" s="157"/>
      <c r="F4" s="157"/>
      <c r="G4" s="157"/>
      <c r="H4" s="157"/>
      <c r="I4" s="157" t="s">
        <v>577</v>
      </c>
      <c r="J4" s="157"/>
      <c r="K4" s="157"/>
      <c r="L4" s="157"/>
      <c r="M4" s="157"/>
      <c r="N4" s="157"/>
    </row>
    <row r="5" spans="2:14" x14ac:dyDescent="0.25">
      <c r="B5" s="8" t="s">
        <v>16</v>
      </c>
      <c r="C5" s="6">
        <v>1.108854</v>
      </c>
      <c r="D5" s="6">
        <v>0.46897800000000001</v>
      </c>
      <c r="E5" s="6">
        <v>0.77854000000000001</v>
      </c>
      <c r="F5" s="6">
        <v>1.3325400000000001</v>
      </c>
      <c r="G5" s="6">
        <v>0.98853999999999997</v>
      </c>
      <c r="H5" s="6">
        <v>1.3225480000000001</v>
      </c>
      <c r="I5" s="6">
        <v>0.70183600000000002</v>
      </c>
      <c r="J5" s="6">
        <v>0.96254600000000001</v>
      </c>
      <c r="K5" s="6">
        <v>0.77526600000000001</v>
      </c>
      <c r="L5" s="6">
        <v>1.1013820000000001</v>
      </c>
      <c r="M5" s="6"/>
      <c r="N5" s="6"/>
    </row>
    <row r="6" spans="2:14" x14ac:dyDescent="0.25">
      <c r="B6" s="8" t="s">
        <v>428</v>
      </c>
      <c r="C6" s="4">
        <v>2.4552100000000001</v>
      </c>
      <c r="D6" s="4">
        <v>2.10025</v>
      </c>
      <c r="E6" s="4">
        <v>3.1120100000000002</v>
      </c>
      <c r="F6" s="4">
        <v>2.0788500000000001</v>
      </c>
      <c r="G6" s="4"/>
      <c r="H6" s="4"/>
      <c r="I6" s="6">
        <v>0.78356899999999996</v>
      </c>
      <c r="J6" s="6">
        <v>1.048109</v>
      </c>
      <c r="K6" s="6">
        <v>0.86094000000000004</v>
      </c>
      <c r="L6" s="6">
        <v>0.89512100000000006</v>
      </c>
      <c r="M6" s="6">
        <v>1.093175</v>
      </c>
      <c r="N6" s="6"/>
    </row>
    <row r="7" spans="2:14" x14ac:dyDescent="0.25">
      <c r="B7" s="8" t="s">
        <v>429</v>
      </c>
      <c r="C7" s="4">
        <v>1.35545</v>
      </c>
      <c r="D7" s="4">
        <v>1.92005</v>
      </c>
      <c r="E7" s="4">
        <v>1.6811419999999999</v>
      </c>
      <c r="F7" s="4">
        <v>1.6522399999999999</v>
      </c>
      <c r="G7" s="4"/>
      <c r="H7" s="4"/>
      <c r="I7" s="6">
        <v>0.571461</v>
      </c>
      <c r="J7" s="6">
        <v>0.85180100000000003</v>
      </c>
      <c r="K7" s="6">
        <v>0.97128999999999999</v>
      </c>
      <c r="L7" s="6">
        <v>0.87570099999999995</v>
      </c>
      <c r="M7" s="6">
        <v>1.087024</v>
      </c>
      <c r="N7" s="6">
        <v>0.91148200000000001</v>
      </c>
    </row>
    <row r="8" spans="2:14" x14ac:dyDescent="0.25">
      <c r="B8" s="8" t="s">
        <v>430</v>
      </c>
      <c r="C8" s="4">
        <v>1.77552</v>
      </c>
      <c r="D8" s="4">
        <v>2.2621099999999998</v>
      </c>
      <c r="E8" s="4">
        <v>1.98854</v>
      </c>
      <c r="F8" s="4"/>
      <c r="G8" s="4"/>
      <c r="H8" s="4"/>
      <c r="I8" s="6">
        <v>1.087572</v>
      </c>
      <c r="J8" s="6">
        <v>1.0624290000000001</v>
      </c>
      <c r="K8" s="6">
        <v>1.2279139999999999</v>
      </c>
      <c r="L8" s="6">
        <v>1.2258100000000001</v>
      </c>
      <c r="M8" s="6">
        <v>1.2804</v>
      </c>
      <c r="N8" s="6">
        <v>1.4228080000000001</v>
      </c>
    </row>
    <row r="9" spans="2:14" x14ac:dyDescent="0.25">
      <c r="B9" s="8" t="s">
        <v>431</v>
      </c>
      <c r="C9" s="4">
        <v>2.1154700000000002</v>
      </c>
      <c r="D9" s="4">
        <v>2.1522100000000002</v>
      </c>
      <c r="E9" s="4">
        <v>3.0225399999999998</v>
      </c>
      <c r="F9" s="4">
        <v>2.5447899999999999</v>
      </c>
      <c r="G9" s="4"/>
      <c r="H9" s="4"/>
      <c r="I9" s="6">
        <v>0.91685399999999995</v>
      </c>
      <c r="J9" s="6">
        <v>1.3879349999999999</v>
      </c>
      <c r="K9" s="6">
        <v>1.0944149999999999</v>
      </c>
      <c r="L9" s="6">
        <v>1.132145</v>
      </c>
      <c r="M9" s="6">
        <v>1.1290359999999999</v>
      </c>
      <c r="N9" s="6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</sheetData>
  <mergeCells count="2">
    <mergeCell ref="I4:N4"/>
    <mergeCell ref="C4:H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8D45-719E-447E-83EC-5DE56CDA3257}">
  <dimension ref="B3:J7"/>
  <sheetViews>
    <sheetView workbookViewId="0">
      <selection activeCell="H12" sqref="H12"/>
    </sheetView>
  </sheetViews>
  <sheetFormatPr defaultRowHeight="15" x14ac:dyDescent="0.25"/>
  <cols>
    <col min="2" max="2" width="12.42578125" customWidth="1"/>
  </cols>
  <sheetData>
    <row r="3" spans="2:10" x14ac:dyDescent="0.25">
      <c r="B3" s="7" t="s">
        <v>578</v>
      </c>
      <c r="C3" s="158" t="s">
        <v>13</v>
      </c>
      <c r="D3" s="158"/>
      <c r="E3" s="158"/>
      <c r="F3" s="158"/>
      <c r="G3" s="158" t="s">
        <v>433</v>
      </c>
      <c r="H3" s="158"/>
      <c r="I3" s="158"/>
      <c r="J3" s="158"/>
    </row>
    <row r="4" spans="2:10" x14ac:dyDescent="0.25">
      <c r="B4" s="8">
        <v>0</v>
      </c>
      <c r="C4" s="4">
        <v>0.89554</v>
      </c>
      <c r="D4" s="4">
        <v>1.1044700000000001</v>
      </c>
      <c r="E4" s="4">
        <v>0.99839999999999995</v>
      </c>
      <c r="F4" s="4">
        <v>1.00159</v>
      </c>
      <c r="G4" s="6">
        <v>1.2488330000000001</v>
      </c>
      <c r="H4" s="6">
        <v>1.373019</v>
      </c>
      <c r="I4" s="6">
        <v>2.1413669999999998</v>
      </c>
      <c r="J4" s="6"/>
    </row>
    <row r="5" spans="2:10" x14ac:dyDescent="0.25">
      <c r="B5" s="8">
        <v>1</v>
      </c>
      <c r="C5" s="156">
        <v>3.0445760000000002</v>
      </c>
      <c r="D5" s="6">
        <v>4.7665800000000003</v>
      </c>
      <c r="E5" s="6">
        <v>2.9699800000000001</v>
      </c>
      <c r="F5" s="6">
        <v>6.7114500000000001</v>
      </c>
      <c r="G5" s="6">
        <v>1.3723430000000001</v>
      </c>
      <c r="H5" s="6">
        <v>1.508813</v>
      </c>
      <c r="I5" s="6">
        <v>2.3531499999999999</v>
      </c>
      <c r="J5" s="6"/>
    </row>
    <row r="6" spans="2:10" x14ac:dyDescent="0.25">
      <c r="B6" s="8">
        <v>12</v>
      </c>
      <c r="C6" s="156">
        <v>5.7785469999999997</v>
      </c>
      <c r="D6" s="6">
        <v>5.0998539999999997</v>
      </c>
      <c r="E6" s="6">
        <v>5.7685899999999997</v>
      </c>
      <c r="F6" s="6">
        <v>6.1025400000000003</v>
      </c>
      <c r="G6" s="6">
        <v>4.4508599999999996</v>
      </c>
      <c r="H6" s="6">
        <v>3.8511250000000001</v>
      </c>
      <c r="I6" s="6">
        <v>3.3754059999999999</v>
      </c>
      <c r="J6" s="6">
        <v>4.9263300000000001</v>
      </c>
    </row>
    <row r="7" spans="2:10" x14ac:dyDescent="0.25">
      <c r="B7" s="8">
        <v>24</v>
      </c>
      <c r="C7" s="6">
        <v>6.8887900000000002</v>
      </c>
      <c r="D7" s="6">
        <v>6.0894750000000002</v>
      </c>
      <c r="E7" s="6">
        <v>5.1985400000000004</v>
      </c>
      <c r="F7" s="6">
        <v>4.6799869999999997</v>
      </c>
      <c r="G7" s="6">
        <v>4.9442009999999996</v>
      </c>
      <c r="H7" s="6">
        <v>4.1205470000000002</v>
      </c>
      <c r="I7" s="6">
        <v>5.0055059999999996</v>
      </c>
      <c r="J7" s="6">
        <v>4.9591339999999997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1A1E-3FF2-4FB6-9FA1-DD78D248BBF7}">
  <dimension ref="A3:AM46"/>
  <sheetViews>
    <sheetView topLeftCell="A28" workbookViewId="0">
      <selection activeCell="M48" sqref="M48"/>
    </sheetView>
  </sheetViews>
  <sheetFormatPr defaultRowHeight="15" x14ac:dyDescent="0.25"/>
  <cols>
    <col min="1" max="1" width="4.28515625" customWidth="1"/>
    <col min="2" max="2" width="12.7109375" style="29" customWidth="1"/>
    <col min="6" max="6" width="11.28515625" customWidth="1"/>
    <col min="7" max="7" width="13.7109375" customWidth="1"/>
  </cols>
  <sheetData>
    <row r="3" spans="1:35" x14ac:dyDescent="0.25">
      <c r="A3" t="s">
        <v>116</v>
      </c>
    </row>
    <row r="4" spans="1:35" x14ac:dyDescent="0.25">
      <c r="A4" t="s">
        <v>31</v>
      </c>
    </row>
    <row r="5" spans="1:35" x14ac:dyDescent="0.25">
      <c r="A5" t="s">
        <v>434</v>
      </c>
      <c r="W5" t="s">
        <v>116</v>
      </c>
    </row>
    <row r="6" spans="1:35" x14ac:dyDescent="0.25">
      <c r="A6" t="s">
        <v>435</v>
      </c>
      <c r="W6" t="s">
        <v>31</v>
      </c>
    </row>
    <row r="7" spans="1:35" x14ac:dyDescent="0.25">
      <c r="A7" t="s">
        <v>436</v>
      </c>
      <c r="W7" t="s">
        <v>437</v>
      </c>
    </row>
    <row r="8" spans="1:35" x14ac:dyDescent="0.25">
      <c r="A8" t="s">
        <v>438</v>
      </c>
      <c r="W8" t="s">
        <v>120</v>
      </c>
    </row>
    <row r="9" spans="1:35" x14ac:dyDescent="0.25">
      <c r="A9" t="s">
        <v>36</v>
      </c>
      <c r="W9" t="s">
        <v>436</v>
      </c>
    </row>
    <row r="10" spans="1:35" x14ac:dyDescent="0.25">
      <c r="W10" t="s">
        <v>439</v>
      </c>
    </row>
    <row r="11" spans="1:35" x14ac:dyDescent="0.25">
      <c r="W11" t="s">
        <v>125</v>
      </c>
      <c r="Z11" t="s">
        <v>126</v>
      </c>
    </row>
    <row r="13" spans="1:35" x14ac:dyDescent="0.25">
      <c r="B13" s="29" t="s">
        <v>37</v>
      </c>
    </row>
    <row r="14" spans="1:35" x14ac:dyDescent="0.25">
      <c r="B14" s="98">
        <v>1</v>
      </c>
      <c r="C14" s="11">
        <v>2</v>
      </c>
      <c r="D14" s="11">
        <v>3</v>
      </c>
      <c r="E14" s="11"/>
      <c r="F14" s="11">
        <v>4</v>
      </c>
      <c r="G14" s="11">
        <v>5</v>
      </c>
      <c r="H14" s="11">
        <v>6</v>
      </c>
      <c r="I14" s="11">
        <v>7</v>
      </c>
      <c r="J14" s="11">
        <v>8</v>
      </c>
      <c r="K14" s="11">
        <v>9</v>
      </c>
      <c r="L14" s="11">
        <v>10</v>
      </c>
      <c r="M14" s="11">
        <v>11</v>
      </c>
      <c r="N14" s="11">
        <v>12</v>
      </c>
    </row>
    <row r="15" spans="1:35" x14ac:dyDescent="0.25">
      <c r="A15" s="11" t="s">
        <v>38</v>
      </c>
      <c r="B15" s="126"/>
      <c r="C15" s="13">
        <v>3005285</v>
      </c>
      <c r="D15" s="13">
        <v>3530489</v>
      </c>
      <c r="E15" s="13"/>
      <c r="F15" s="13">
        <v>3841480</v>
      </c>
      <c r="G15" s="13">
        <v>3699049</v>
      </c>
      <c r="H15" s="13">
        <v>3795031</v>
      </c>
      <c r="I15" s="13">
        <v>120255</v>
      </c>
      <c r="J15" s="13">
        <v>92481</v>
      </c>
      <c r="K15" s="13"/>
      <c r="L15" s="13"/>
      <c r="M15" s="13"/>
      <c r="N15" s="14"/>
      <c r="X15" t="s">
        <v>128</v>
      </c>
    </row>
    <row r="16" spans="1:35" x14ac:dyDescent="0.25">
      <c r="A16" s="11" t="s">
        <v>40</v>
      </c>
      <c r="B16" s="127"/>
      <c r="C16" s="16">
        <v>2893854</v>
      </c>
      <c r="D16" s="16">
        <v>3557343</v>
      </c>
      <c r="E16" s="16"/>
      <c r="F16" s="16">
        <v>3716467</v>
      </c>
      <c r="G16" s="16">
        <v>3221131</v>
      </c>
      <c r="H16" s="16">
        <v>3153635</v>
      </c>
      <c r="I16" s="16"/>
      <c r="J16" s="16"/>
      <c r="K16" s="16"/>
      <c r="L16" s="16"/>
      <c r="M16" s="16"/>
      <c r="N16" s="17"/>
      <c r="X16" s="11">
        <v>1</v>
      </c>
      <c r="Y16" s="11">
        <v>2</v>
      </c>
      <c r="Z16" s="11">
        <v>3</v>
      </c>
      <c r="AA16" s="11">
        <v>4</v>
      </c>
      <c r="AB16" s="11">
        <v>5</v>
      </c>
      <c r="AC16" s="11">
        <v>6</v>
      </c>
      <c r="AD16" s="11">
        <v>7</v>
      </c>
      <c r="AE16" s="11">
        <v>8</v>
      </c>
      <c r="AF16" s="11">
        <v>9</v>
      </c>
      <c r="AG16" s="11">
        <v>10</v>
      </c>
      <c r="AH16" s="11">
        <v>11</v>
      </c>
      <c r="AI16" s="11">
        <v>12</v>
      </c>
    </row>
    <row r="17" spans="1:39" x14ac:dyDescent="0.25">
      <c r="A17" s="11" t="s">
        <v>41</v>
      </c>
      <c r="B17" s="127"/>
      <c r="C17" s="16">
        <v>2998665</v>
      </c>
      <c r="D17" s="16">
        <v>3016647</v>
      </c>
      <c r="E17" s="16"/>
      <c r="F17" s="16">
        <v>3077793</v>
      </c>
      <c r="G17" s="16">
        <v>3155450</v>
      </c>
      <c r="H17" s="16">
        <v>3086320</v>
      </c>
      <c r="I17" s="16"/>
      <c r="J17" s="16"/>
      <c r="K17" s="16"/>
      <c r="L17" s="16"/>
      <c r="M17" s="16"/>
      <c r="N17" s="17"/>
      <c r="W17" s="11" t="s">
        <v>38</v>
      </c>
      <c r="X17" s="12">
        <v>0.64600000000000002</v>
      </c>
      <c r="Y17" s="13">
        <v>0.65800000000000003</v>
      </c>
      <c r="Z17" s="13">
        <v>0.63900000000000001</v>
      </c>
      <c r="AA17" s="13">
        <v>0.65800000000000003</v>
      </c>
      <c r="AB17" s="13">
        <v>0.61799999999999999</v>
      </c>
      <c r="AC17" s="13">
        <v>0.60699999999999998</v>
      </c>
      <c r="AD17" s="13">
        <v>4.3999999999999997E-2</v>
      </c>
      <c r="AE17" s="13">
        <v>4.4999999999999998E-2</v>
      </c>
      <c r="AF17" s="13">
        <v>4.4999999999999998E-2</v>
      </c>
      <c r="AG17" s="13">
        <v>4.4999999999999998E-2</v>
      </c>
      <c r="AH17" s="13">
        <v>4.3999999999999997E-2</v>
      </c>
      <c r="AI17" s="14">
        <v>4.4999999999999998E-2</v>
      </c>
      <c r="AK17" s="16">
        <v>2000</v>
      </c>
      <c r="AL17">
        <f>AVERAGE(X17:Y17)</f>
        <v>0.65200000000000002</v>
      </c>
      <c r="AM17">
        <f>AL17-0.0665</f>
        <v>0.58550000000000002</v>
      </c>
    </row>
    <row r="18" spans="1:39" x14ac:dyDescent="0.25">
      <c r="A18" s="11" t="s">
        <v>42</v>
      </c>
      <c r="B18" s="127"/>
      <c r="C18" s="16"/>
      <c r="D18" s="16">
        <v>3041867</v>
      </c>
      <c r="E18" s="16"/>
      <c r="F18" s="16">
        <v>2813977</v>
      </c>
      <c r="G18" s="16">
        <v>8107715</v>
      </c>
      <c r="H18" s="16">
        <v>8327986</v>
      </c>
      <c r="I18" s="16"/>
      <c r="J18" s="16"/>
      <c r="K18" s="16"/>
      <c r="L18" s="16"/>
      <c r="M18" s="16"/>
      <c r="N18" s="17"/>
      <c r="W18" s="11" t="s">
        <v>40</v>
      </c>
      <c r="X18" s="15">
        <v>0.39200000000000002</v>
      </c>
      <c r="Y18" s="16">
        <v>0.41099999999999998</v>
      </c>
      <c r="Z18" s="16">
        <v>0.68</v>
      </c>
      <c r="AA18" s="16">
        <v>0.69899999999999995</v>
      </c>
      <c r="AB18" s="16">
        <v>0.54600000000000004</v>
      </c>
      <c r="AC18" s="16">
        <v>0.57699999999999996</v>
      </c>
      <c r="AD18" s="16">
        <v>4.4999999999999998E-2</v>
      </c>
      <c r="AE18" s="16">
        <v>4.4999999999999998E-2</v>
      </c>
      <c r="AF18" s="16">
        <v>4.4999999999999998E-2</v>
      </c>
      <c r="AG18" s="16">
        <v>4.3999999999999997E-2</v>
      </c>
      <c r="AH18" s="16">
        <v>4.3999999999999997E-2</v>
      </c>
      <c r="AI18" s="17">
        <v>4.3999999999999997E-2</v>
      </c>
      <c r="AK18">
        <f>AK17/2</f>
        <v>1000</v>
      </c>
      <c r="AL18">
        <f t="shared" ref="AL18:AL24" si="0">AVERAGE(X18:Y18)</f>
        <v>0.40149999999999997</v>
      </c>
      <c r="AM18">
        <f t="shared" ref="AM18:AM25" si="1">AL18-0.0665</f>
        <v>0.33499999999999996</v>
      </c>
    </row>
    <row r="19" spans="1:39" x14ac:dyDescent="0.25">
      <c r="A19" s="11" t="s">
        <v>43</v>
      </c>
      <c r="B19" s="127"/>
      <c r="C19" s="16"/>
      <c r="D19" s="16">
        <v>2941349</v>
      </c>
      <c r="E19" s="16"/>
      <c r="F19" s="16">
        <v>3134040</v>
      </c>
      <c r="G19" s="16">
        <v>7175287</v>
      </c>
      <c r="H19" s="16">
        <v>6955743</v>
      </c>
      <c r="I19" s="16"/>
      <c r="J19" s="16"/>
      <c r="K19" s="16"/>
      <c r="L19" s="16"/>
      <c r="M19" s="16"/>
      <c r="N19" s="17"/>
      <c r="W19" s="11" t="s">
        <v>41</v>
      </c>
      <c r="X19" s="15">
        <v>0.249</v>
      </c>
      <c r="Y19" s="16">
        <v>0.24299999999999999</v>
      </c>
      <c r="Z19" s="16">
        <v>0.63200000000000001</v>
      </c>
      <c r="AA19" s="16">
        <v>0.629</v>
      </c>
      <c r="AB19" s="16">
        <v>0.54200000000000004</v>
      </c>
      <c r="AC19" s="16">
        <v>0.53</v>
      </c>
      <c r="AD19" s="16">
        <v>4.4999999999999998E-2</v>
      </c>
      <c r="AE19" s="16">
        <v>4.4999999999999998E-2</v>
      </c>
      <c r="AF19" s="16">
        <v>4.4999999999999998E-2</v>
      </c>
      <c r="AG19" s="16">
        <v>4.3999999999999997E-2</v>
      </c>
      <c r="AH19" s="16">
        <v>4.4999999999999998E-2</v>
      </c>
      <c r="AI19" s="17">
        <v>7.3999999999999996E-2</v>
      </c>
      <c r="AK19">
        <f t="shared" ref="AK19:AK24" si="2">AK18/2</f>
        <v>500</v>
      </c>
      <c r="AL19">
        <f t="shared" si="0"/>
        <v>0.246</v>
      </c>
      <c r="AM19">
        <f t="shared" si="1"/>
        <v>0.17949999999999999</v>
      </c>
    </row>
    <row r="20" spans="1:39" x14ac:dyDescent="0.25">
      <c r="A20" s="11" t="s">
        <v>44</v>
      </c>
      <c r="B20" s="127"/>
      <c r="C20" s="16"/>
      <c r="D20" s="16">
        <v>3511801</v>
      </c>
      <c r="E20" s="16"/>
      <c r="F20" s="16">
        <v>3449748</v>
      </c>
      <c r="G20" s="16">
        <v>5593117</v>
      </c>
      <c r="H20" s="16">
        <v>5674766</v>
      </c>
      <c r="I20" s="16"/>
      <c r="J20" s="16"/>
      <c r="K20" s="16"/>
      <c r="L20" s="16"/>
      <c r="M20" s="16"/>
      <c r="N20" s="17"/>
      <c r="W20" s="11" t="s">
        <v>42</v>
      </c>
      <c r="X20" s="15">
        <v>0.16800000000000001</v>
      </c>
      <c r="Y20" s="16">
        <v>0.17799999999999999</v>
      </c>
      <c r="Z20" s="16">
        <v>0.65500000000000003</v>
      </c>
      <c r="AA20" s="16">
        <v>0.66500000000000004</v>
      </c>
      <c r="AB20" s="16">
        <v>6.7000000000000004E-2</v>
      </c>
      <c r="AC20" s="16">
        <v>6.6000000000000003E-2</v>
      </c>
      <c r="AD20" s="16">
        <v>4.4999999999999998E-2</v>
      </c>
      <c r="AE20" s="16">
        <v>4.4999999999999998E-2</v>
      </c>
      <c r="AF20" s="16">
        <v>4.4999999999999998E-2</v>
      </c>
      <c r="AG20" s="16">
        <v>4.4999999999999998E-2</v>
      </c>
      <c r="AH20" s="16">
        <v>4.3999999999999997E-2</v>
      </c>
      <c r="AI20" s="17">
        <v>4.3999999999999997E-2</v>
      </c>
      <c r="AK20">
        <f t="shared" si="2"/>
        <v>250</v>
      </c>
      <c r="AL20">
        <f t="shared" si="0"/>
        <v>0.17299999999999999</v>
      </c>
      <c r="AM20">
        <f t="shared" si="1"/>
        <v>0.10649999999999998</v>
      </c>
    </row>
    <row r="21" spans="1:39" x14ac:dyDescent="0.25">
      <c r="A21" s="11" t="s">
        <v>45</v>
      </c>
      <c r="B21" s="127"/>
      <c r="C21" s="16"/>
      <c r="D21" s="16">
        <v>3260686</v>
      </c>
      <c r="E21" s="16"/>
      <c r="F21" s="16">
        <v>3186658</v>
      </c>
      <c r="G21" s="16">
        <v>3953248</v>
      </c>
      <c r="H21" s="16">
        <v>3961232</v>
      </c>
      <c r="I21" s="16"/>
      <c r="J21" s="16"/>
      <c r="K21" s="16"/>
      <c r="L21" s="16"/>
      <c r="M21" s="16"/>
      <c r="N21" s="17"/>
      <c r="W21" s="11" t="s">
        <v>43</v>
      </c>
      <c r="X21" s="15">
        <v>0.11899999999999999</v>
      </c>
      <c r="Y21" s="16">
        <v>0.122</v>
      </c>
      <c r="Z21" s="16">
        <v>0.67400000000000004</v>
      </c>
      <c r="AA21" s="16">
        <v>0.66300000000000003</v>
      </c>
      <c r="AB21" s="16">
        <v>4.4999999999999998E-2</v>
      </c>
      <c r="AC21" s="16">
        <v>4.4999999999999998E-2</v>
      </c>
      <c r="AD21" s="16">
        <v>4.3999999999999997E-2</v>
      </c>
      <c r="AE21" s="16">
        <v>4.4999999999999998E-2</v>
      </c>
      <c r="AF21" s="16">
        <v>4.3999999999999997E-2</v>
      </c>
      <c r="AG21" s="16">
        <v>4.3999999999999997E-2</v>
      </c>
      <c r="AH21" s="16">
        <v>4.4999999999999998E-2</v>
      </c>
      <c r="AI21" s="17">
        <v>4.3999999999999997E-2</v>
      </c>
      <c r="AK21">
        <f t="shared" si="2"/>
        <v>125</v>
      </c>
      <c r="AL21">
        <f t="shared" si="0"/>
        <v>0.1205</v>
      </c>
      <c r="AM21">
        <f t="shared" si="1"/>
        <v>5.3999999999999992E-2</v>
      </c>
    </row>
    <row r="22" spans="1:39" x14ac:dyDescent="0.25">
      <c r="A22" s="11" t="s">
        <v>46</v>
      </c>
      <c r="B22" s="128"/>
      <c r="C22" s="19"/>
      <c r="D22" s="19">
        <v>3577120</v>
      </c>
      <c r="E22" s="19"/>
      <c r="F22" s="19">
        <v>3427612</v>
      </c>
      <c r="G22" s="19">
        <v>2494499</v>
      </c>
      <c r="H22" s="19">
        <v>2244578</v>
      </c>
      <c r="I22" s="19"/>
      <c r="J22" s="19"/>
      <c r="K22" s="19"/>
      <c r="L22" s="19"/>
      <c r="M22" s="19"/>
      <c r="N22" s="20"/>
      <c r="W22" s="11" t="s">
        <v>44</v>
      </c>
      <c r="X22" s="15">
        <v>9.4E-2</v>
      </c>
      <c r="Y22" s="16">
        <v>9.8000000000000004E-2</v>
      </c>
      <c r="Z22" s="16">
        <v>0.64</v>
      </c>
      <c r="AA22" s="16">
        <v>0.64100000000000001</v>
      </c>
      <c r="AB22" s="16">
        <v>4.4999999999999998E-2</v>
      </c>
      <c r="AC22" s="16">
        <v>4.3999999999999997E-2</v>
      </c>
      <c r="AD22" s="16">
        <v>4.3999999999999997E-2</v>
      </c>
      <c r="AE22" s="16">
        <v>4.4999999999999998E-2</v>
      </c>
      <c r="AF22" s="16">
        <v>4.3999999999999997E-2</v>
      </c>
      <c r="AG22" s="16">
        <v>4.3999999999999997E-2</v>
      </c>
      <c r="AH22" s="16">
        <v>4.3999999999999997E-2</v>
      </c>
      <c r="AI22" s="17">
        <v>4.3999999999999997E-2</v>
      </c>
      <c r="AK22">
        <f t="shared" si="2"/>
        <v>62.5</v>
      </c>
      <c r="AL22">
        <f t="shared" si="0"/>
        <v>9.6000000000000002E-2</v>
      </c>
      <c r="AM22">
        <f t="shared" si="1"/>
        <v>2.9499999999999998E-2</v>
      </c>
    </row>
    <row r="23" spans="1:39" x14ac:dyDescent="0.25">
      <c r="W23" s="11" t="s">
        <v>45</v>
      </c>
      <c r="X23" s="15">
        <v>8.3000000000000004E-2</v>
      </c>
      <c r="Y23" s="16">
        <v>8.3000000000000004E-2</v>
      </c>
      <c r="Z23" s="16">
        <v>0.60899999999999999</v>
      </c>
      <c r="AA23" s="16">
        <v>0.60099999999999998</v>
      </c>
      <c r="AB23" s="16">
        <v>4.4999999999999998E-2</v>
      </c>
      <c r="AC23" s="16">
        <v>4.4999999999999998E-2</v>
      </c>
      <c r="AD23" s="16">
        <v>4.4999999999999998E-2</v>
      </c>
      <c r="AE23" s="16">
        <v>4.3999999999999997E-2</v>
      </c>
      <c r="AF23" s="16">
        <v>4.5999999999999999E-2</v>
      </c>
      <c r="AG23" s="16">
        <v>4.3999999999999997E-2</v>
      </c>
      <c r="AH23" s="16">
        <v>4.3999999999999997E-2</v>
      </c>
      <c r="AI23" s="17">
        <v>4.3999999999999997E-2</v>
      </c>
      <c r="AK23">
        <f t="shared" si="2"/>
        <v>31.25</v>
      </c>
      <c r="AL23">
        <f t="shared" si="0"/>
        <v>8.3000000000000004E-2</v>
      </c>
      <c r="AM23">
        <f t="shared" si="1"/>
        <v>1.6500000000000001E-2</v>
      </c>
    </row>
    <row r="24" spans="1:39" x14ac:dyDescent="0.25">
      <c r="W24" s="11" t="s">
        <v>46</v>
      </c>
      <c r="X24" s="18">
        <v>7.4999999999999997E-2</v>
      </c>
      <c r="Y24" s="19">
        <v>7.4999999999999997E-2</v>
      </c>
      <c r="Z24" s="19">
        <v>0.58699999999999997</v>
      </c>
      <c r="AA24" s="19">
        <v>0.57599999999999996</v>
      </c>
      <c r="AB24" s="19">
        <v>4.3999999999999997E-2</v>
      </c>
      <c r="AC24" s="19">
        <v>4.4999999999999998E-2</v>
      </c>
      <c r="AD24" s="19">
        <v>4.4999999999999998E-2</v>
      </c>
      <c r="AE24" s="19">
        <v>4.3999999999999997E-2</v>
      </c>
      <c r="AF24" s="19">
        <v>4.3999999999999997E-2</v>
      </c>
      <c r="AG24" s="19">
        <v>4.3999999999999997E-2</v>
      </c>
      <c r="AH24" s="19">
        <v>4.3999999999999997E-2</v>
      </c>
      <c r="AI24" s="20">
        <v>4.3999999999999997E-2</v>
      </c>
      <c r="AK24">
        <f t="shared" si="2"/>
        <v>15.625</v>
      </c>
      <c r="AL24">
        <f t="shared" si="0"/>
        <v>7.4999999999999997E-2</v>
      </c>
      <c r="AM24">
        <f t="shared" si="1"/>
        <v>8.4999999999999937E-3</v>
      </c>
    </row>
    <row r="25" spans="1:39" x14ac:dyDescent="0.25">
      <c r="B25"/>
      <c r="C25">
        <f>C15/1000</f>
        <v>3005.2849999999999</v>
      </c>
      <c r="D25">
        <f>D15/1000</f>
        <v>3530.489</v>
      </c>
      <c r="F25">
        <f t="shared" ref="F25:J25" si="3">F15/1000</f>
        <v>3841.48</v>
      </c>
      <c r="G25">
        <f t="shared" si="3"/>
        <v>3699.049</v>
      </c>
      <c r="H25">
        <f t="shared" si="3"/>
        <v>3795.0309999999999</v>
      </c>
      <c r="I25">
        <f>I15/1000</f>
        <v>120.255</v>
      </c>
      <c r="J25">
        <f t="shared" si="3"/>
        <v>92.480999999999995</v>
      </c>
      <c r="L25">
        <v>4</v>
      </c>
      <c r="M25">
        <f>AVERAGE(G28:H28)</f>
        <v>8217.8505000000005</v>
      </c>
      <c r="N25">
        <f>M25-$M$30</f>
        <v>8111.4825000000001</v>
      </c>
      <c r="Z25" s="1" t="s">
        <v>440</v>
      </c>
      <c r="AK25">
        <v>0</v>
      </c>
      <c r="AL25">
        <f>AVERAGE(AB21:AC21)</f>
        <v>4.4999999999999998E-2</v>
      </c>
      <c r="AM25">
        <f t="shared" si="1"/>
        <v>-2.1500000000000005E-2</v>
      </c>
    </row>
    <row r="26" spans="1:39" x14ac:dyDescent="0.25">
      <c r="B26"/>
      <c r="C26">
        <f t="shared" ref="C26:H27" si="4">C16/1000</f>
        <v>2893.8539999999998</v>
      </c>
      <c r="D26">
        <f t="shared" si="4"/>
        <v>3557.3429999999998</v>
      </c>
      <c r="F26">
        <f t="shared" si="4"/>
        <v>3716.4670000000001</v>
      </c>
      <c r="G26">
        <f t="shared" si="4"/>
        <v>3221.1309999999999</v>
      </c>
      <c r="H26">
        <f t="shared" si="4"/>
        <v>3153.6350000000002</v>
      </c>
      <c r="L26">
        <v>3.2</v>
      </c>
      <c r="M26">
        <f>AVERAGE(G29:H29)</f>
        <v>7065.5150000000003</v>
      </c>
      <c r="N26">
        <f t="shared" ref="N26:N30" si="5">M26-$M$30</f>
        <v>6959.1469999999999</v>
      </c>
      <c r="Z26" s="1" t="s">
        <v>47</v>
      </c>
      <c r="AA26" s="1" t="s">
        <v>48</v>
      </c>
      <c r="AB26" s="1" t="s">
        <v>441</v>
      </c>
      <c r="AC26" s="1" t="s">
        <v>132</v>
      </c>
      <c r="AD26" s="1" t="s">
        <v>442</v>
      </c>
      <c r="AE26" s="1" t="s">
        <v>443</v>
      </c>
    </row>
    <row r="27" spans="1:39" x14ac:dyDescent="0.25">
      <c r="B27"/>
      <c r="C27">
        <f t="shared" si="4"/>
        <v>2998.665</v>
      </c>
      <c r="D27">
        <f>D17/1000</f>
        <v>3016.6469999999999</v>
      </c>
      <c r="F27">
        <f t="shared" si="4"/>
        <v>3077.7930000000001</v>
      </c>
      <c r="G27">
        <f>G17/1000</f>
        <v>3155.45</v>
      </c>
      <c r="H27">
        <f t="shared" si="4"/>
        <v>3086.32</v>
      </c>
      <c r="L27">
        <v>2.4</v>
      </c>
      <c r="M27">
        <f t="shared" ref="M27:M28" si="6">AVERAGE(G30:H30)</f>
        <v>5633.9414999999999</v>
      </c>
      <c r="N27">
        <f t="shared" si="5"/>
        <v>5527.5734999999995</v>
      </c>
      <c r="Z27">
        <f>AVERAGE(Z17:AA17)</f>
        <v>0.64850000000000008</v>
      </c>
      <c r="AA27">
        <f>Z27-0.0665</f>
        <v>0.58200000000000007</v>
      </c>
      <c r="AB27">
        <f>(AA27-0.0159)/0.0003</f>
        <v>1887.0000000000002</v>
      </c>
      <c r="AC27">
        <f>AB27*5</f>
        <v>9435.0000000000018</v>
      </c>
      <c r="AD27">
        <f>AC27/1000</f>
        <v>9.4350000000000023</v>
      </c>
      <c r="AE27">
        <f>AD27*50</f>
        <v>471.75000000000011</v>
      </c>
    </row>
    <row r="28" spans="1:39" x14ac:dyDescent="0.25">
      <c r="D28">
        <f t="shared" ref="D28:H31" si="7">D18/1000</f>
        <v>3041.8670000000002</v>
      </c>
      <c r="F28">
        <f t="shared" si="7"/>
        <v>2813.9769999999999</v>
      </c>
      <c r="G28">
        <f>G18/1000</f>
        <v>8107.7150000000001</v>
      </c>
      <c r="H28">
        <f>H18/1000</f>
        <v>8327.9860000000008</v>
      </c>
      <c r="L28">
        <v>1.6</v>
      </c>
      <c r="M28">
        <f t="shared" si="6"/>
        <v>3957.24</v>
      </c>
      <c r="N28">
        <f t="shared" si="5"/>
        <v>3850.8719999999998</v>
      </c>
      <c r="Z28">
        <f t="shared" ref="Z28:Z34" si="8">AVERAGE(Z18:AA18)</f>
        <v>0.6895</v>
      </c>
      <c r="AA28">
        <f t="shared" ref="AA28:AA37" si="9">Z28-0.0665</f>
        <v>0.623</v>
      </c>
      <c r="AB28">
        <f t="shared" ref="AB28:AB37" si="10">(AA28-0.0159)/0.0003</f>
        <v>2023.6666666666667</v>
      </c>
      <c r="AC28">
        <f t="shared" ref="AC28:AC37" si="11">AB28*5</f>
        <v>10118.333333333334</v>
      </c>
      <c r="AD28">
        <f t="shared" ref="AD28:AD37" si="12">AC28/1000</f>
        <v>10.118333333333334</v>
      </c>
      <c r="AE28">
        <f t="shared" ref="AE28:AE37" si="13">AD28*50</f>
        <v>505.91666666666669</v>
      </c>
    </row>
    <row r="29" spans="1:39" x14ac:dyDescent="0.25">
      <c r="D29">
        <f t="shared" si="7"/>
        <v>2941.3490000000002</v>
      </c>
      <c r="F29">
        <f t="shared" si="7"/>
        <v>3134.04</v>
      </c>
      <c r="G29">
        <f>G19/1000</f>
        <v>7175.2870000000003</v>
      </c>
      <c r="H29">
        <f t="shared" si="7"/>
        <v>6955.7430000000004</v>
      </c>
      <c r="L29">
        <v>0.8</v>
      </c>
      <c r="M29">
        <f>AVERAGE(G32:H32)</f>
        <v>2369.5384999999997</v>
      </c>
      <c r="N29">
        <f t="shared" si="5"/>
        <v>2263.1704999999997</v>
      </c>
      <c r="Z29">
        <f t="shared" si="8"/>
        <v>0.63050000000000006</v>
      </c>
      <c r="AA29">
        <f t="shared" si="9"/>
        <v>0.56400000000000006</v>
      </c>
      <c r="AB29">
        <f t="shared" si="10"/>
        <v>1827.0000000000002</v>
      </c>
      <c r="AC29">
        <f t="shared" si="11"/>
        <v>9135.0000000000018</v>
      </c>
      <c r="AD29">
        <f t="shared" si="12"/>
        <v>9.1350000000000016</v>
      </c>
      <c r="AE29">
        <f t="shared" si="13"/>
        <v>456.75000000000006</v>
      </c>
    </row>
    <row r="30" spans="1:39" x14ac:dyDescent="0.25">
      <c r="D30">
        <f t="shared" si="7"/>
        <v>3511.8009999999999</v>
      </c>
      <c r="F30">
        <f t="shared" si="7"/>
        <v>3449.748</v>
      </c>
      <c r="G30">
        <f t="shared" si="7"/>
        <v>5593.1170000000002</v>
      </c>
      <c r="H30">
        <f t="shared" si="7"/>
        <v>5674.7659999999996</v>
      </c>
      <c r="L30">
        <v>0</v>
      </c>
      <c r="M30">
        <f>AVERAGE(I25:J25)</f>
        <v>106.36799999999999</v>
      </c>
      <c r="N30">
        <f t="shared" si="5"/>
        <v>0</v>
      </c>
      <c r="Z30">
        <f t="shared" si="8"/>
        <v>0.66</v>
      </c>
      <c r="AA30">
        <f t="shared" si="9"/>
        <v>0.59350000000000003</v>
      </c>
      <c r="AB30">
        <f t="shared" si="10"/>
        <v>1925.3333333333335</v>
      </c>
      <c r="AC30">
        <f t="shared" si="11"/>
        <v>9626.6666666666679</v>
      </c>
      <c r="AD30">
        <f t="shared" si="12"/>
        <v>9.6266666666666687</v>
      </c>
      <c r="AE30">
        <f t="shared" si="13"/>
        <v>481.33333333333343</v>
      </c>
    </row>
    <row r="31" spans="1:39" x14ac:dyDescent="0.25">
      <c r="D31">
        <f t="shared" si="7"/>
        <v>3260.6860000000001</v>
      </c>
      <c r="F31">
        <f t="shared" si="7"/>
        <v>3186.6579999999999</v>
      </c>
      <c r="G31">
        <f t="shared" si="7"/>
        <v>3953.248</v>
      </c>
      <c r="H31">
        <f t="shared" si="7"/>
        <v>3961.232</v>
      </c>
      <c r="Z31">
        <f t="shared" si="8"/>
        <v>0.66850000000000009</v>
      </c>
      <c r="AA31">
        <f t="shared" si="9"/>
        <v>0.60200000000000009</v>
      </c>
      <c r="AB31">
        <f t="shared" si="10"/>
        <v>1953.666666666667</v>
      </c>
      <c r="AC31">
        <f t="shared" si="11"/>
        <v>9768.3333333333358</v>
      </c>
      <c r="AD31">
        <f t="shared" si="12"/>
        <v>9.7683333333333362</v>
      </c>
      <c r="AE31">
        <f t="shared" si="13"/>
        <v>488.4166666666668</v>
      </c>
    </row>
    <row r="32" spans="1:39" x14ac:dyDescent="0.25">
      <c r="D32">
        <f>D22/1000</f>
        <v>3577.12</v>
      </c>
      <c r="F32">
        <f>F22/1000</f>
        <v>3427.6120000000001</v>
      </c>
      <c r="G32">
        <f>G22/1000</f>
        <v>2494.4989999999998</v>
      </c>
      <c r="H32">
        <f>H22/1000</f>
        <v>2244.578</v>
      </c>
      <c r="Z32">
        <f t="shared" si="8"/>
        <v>0.64050000000000007</v>
      </c>
      <c r="AA32">
        <f t="shared" si="9"/>
        <v>0.57400000000000007</v>
      </c>
      <c r="AB32">
        <f t="shared" si="10"/>
        <v>1860.3333333333337</v>
      </c>
      <c r="AC32">
        <f t="shared" si="11"/>
        <v>9301.6666666666679</v>
      </c>
      <c r="AD32">
        <f t="shared" si="12"/>
        <v>9.3016666666666676</v>
      </c>
      <c r="AE32">
        <f t="shared" si="13"/>
        <v>465.08333333333337</v>
      </c>
    </row>
    <row r="33" spans="2:31" x14ac:dyDescent="0.25">
      <c r="F33" t="s">
        <v>444</v>
      </c>
      <c r="Z33">
        <f>AVERAGE(Z23:AA23)</f>
        <v>0.60499999999999998</v>
      </c>
      <c r="AA33">
        <f t="shared" si="9"/>
        <v>0.53849999999999998</v>
      </c>
      <c r="AB33">
        <f t="shared" si="10"/>
        <v>1742</v>
      </c>
      <c r="AC33">
        <f t="shared" si="11"/>
        <v>8710</v>
      </c>
      <c r="AD33">
        <f t="shared" si="12"/>
        <v>8.7100000000000009</v>
      </c>
      <c r="AE33">
        <f t="shared" si="13"/>
        <v>435.50000000000006</v>
      </c>
    </row>
    <row r="34" spans="2:31" x14ac:dyDescent="0.25">
      <c r="F34" s="1" t="s">
        <v>39</v>
      </c>
      <c r="G34" s="1" t="s">
        <v>445</v>
      </c>
      <c r="H34" s="1" t="s">
        <v>446</v>
      </c>
      <c r="I34" s="1" t="s">
        <v>6</v>
      </c>
      <c r="J34" s="1" t="s">
        <v>447</v>
      </c>
      <c r="Z34">
        <f t="shared" si="8"/>
        <v>0.58149999999999991</v>
      </c>
      <c r="AA34">
        <f t="shared" si="9"/>
        <v>0.5149999999999999</v>
      </c>
      <c r="AB34">
        <f t="shared" si="10"/>
        <v>1663.6666666666665</v>
      </c>
      <c r="AC34">
        <f t="shared" si="11"/>
        <v>8318.3333333333321</v>
      </c>
      <c r="AD34">
        <f t="shared" si="12"/>
        <v>8.3183333333333316</v>
      </c>
      <c r="AE34">
        <f t="shared" si="13"/>
        <v>415.91666666666657</v>
      </c>
    </row>
    <row r="35" spans="2:31" x14ac:dyDescent="0.25">
      <c r="B35" s="159" t="s">
        <v>448</v>
      </c>
      <c r="C35" s="1" t="s">
        <v>449</v>
      </c>
      <c r="D35">
        <v>3005.2849999999999</v>
      </c>
      <c r="E35">
        <f t="shared" ref="E35:E46" si="14">D35-106.368</f>
        <v>2898.9169999999999</v>
      </c>
      <c r="F35">
        <f t="shared" ref="F35:F46" si="15">(E35-709.03)/1970.6</f>
        <v>1.1112793057951893</v>
      </c>
      <c r="G35">
        <v>458.99</v>
      </c>
      <c r="H35">
        <f t="shared" ref="H35:H46" si="16">F35/G35</f>
        <v>2.4211405603503109E-3</v>
      </c>
      <c r="I35">
        <f>AVERAGE(H35:H37)</f>
        <v>2.3016765832153778E-3</v>
      </c>
      <c r="J35">
        <f t="shared" ref="J35:J46" si="17">H35/$I$35</f>
        <v>1.0519030249541164</v>
      </c>
      <c r="Z35">
        <f>AVERAGE(AB17:AC17)</f>
        <v>0.61250000000000004</v>
      </c>
      <c r="AA35">
        <f t="shared" si="9"/>
        <v>0.54600000000000004</v>
      </c>
      <c r="AB35">
        <f t="shared" si="10"/>
        <v>1767.0000000000002</v>
      </c>
      <c r="AC35">
        <f t="shared" si="11"/>
        <v>8835.0000000000018</v>
      </c>
      <c r="AD35">
        <f t="shared" si="12"/>
        <v>8.8350000000000026</v>
      </c>
      <c r="AE35">
        <f t="shared" si="13"/>
        <v>441.75000000000011</v>
      </c>
    </row>
    <row r="36" spans="2:31" x14ac:dyDescent="0.25">
      <c r="B36" s="159"/>
      <c r="C36" s="1" t="s">
        <v>450</v>
      </c>
      <c r="D36">
        <v>2893.8539999999998</v>
      </c>
      <c r="E36">
        <f t="shared" si="14"/>
        <v>2787.4859999999999</v>
      </c>
      <c r="F36">
        <f t="shared" si="15"/>
        <v>1.0547325687607836</v>
      </c>
      <c r="G36">
        <v>477.22500000000002</v>
      </c>
      <c r="H36">
        <f t="shared" si="16"/>
        <v>2.2101368720431318E-3</v>
      </c>
      <c r="J36">
        <f t="shared" si="17"/>
        <v>0.96022911653192933</v>
      </c>
      <c r="Z36">
        <f t="shared" ref="Z36:Z37" si="18">AVERAGE(AB18:AC18)</f>
        <v>0.5615</v>
      </c>
      <c r="AA36">
        <f t="shared" si="9"/>
        <v>0.495</v>
      </c>
      <c r="AB36">
        <f t="shared" si="10"/>
        <v>1597</v>
      </c>
      <c r="AC36">
        <f t="shared" si="11"/>
        <v>7985</v>
      </c>
      <c r="AD36">
        <f t="shared" si="12"/>
        <v>7.9850000000000003</v>
      </c>
      <c r="AE36">
        <f t="shared" si="13"/>
        <v>399.25</v>
      </c>
    </row>
    <row r="37" spans="2:31" x14ac:dyDescent="0.25">
      <c r="B37" s="159"/>
      <c r="C37" s="1" t="s">
        <v>451</v>
      </c>
      <c r="D37">
        <v>2998.665</v>
      </c>
      <c r="E37">
        <f t="shared" si="14"/>
        <v>2892.297</v>
      </c>
      <c r="F37">
        <f t="shared" si="15"/>
        <v>1.1079199228661321</v>
      </c>
      <c r="G37">
        <v>487.26499999999999</v>
      </c>
      <c r="H37">
        <f t="shared" si="16"/>
        <v>2.2737523172526902E-3</v>
      </c>
      <c r="J37">
        <f t="shared" si="17"/>
        <v>0.9878678585139542</v>
      </c>
      <c r="Z37">
        <f t="shared" si="18"/>
        <v>0.53600000000000003</v>
      </c>
      <c r="AA37">
        <f t="shared" si="9"/>
        <v>0.46950000000000003</v>
      </c>
      <c r="AB37">
        <f t="shared" si="10"/>
        <v>1512.0000000000002</v>
      </c>
      <c r="AC37">
        <f t="shared" si="11"/>
        <v>7560.0000000000009</v>
      </c>
      <c r="AD37">
        <f t="shared" si="12"/>
        <v>7.5600000000000005</v>
      </c>
      <c r="AE37">
        <f t="shared" si="13"/>
        <v>378</v>
      </c>
    </row>
    <row r="38" spans="2:31" x14ac:dyDescent="0.25">
      <c r="B38" s="159"/>
      <c r="C38" s="1" t="s">
        <v>452</v>
      </c>
      <c r="D38">
        <f t="shared" ref="D38:D43" si="19">AVERAGE(D27:F27)</f>
        <v>3047.2200000000003</v>
      </c>
      <c r="E38">
        <f t="shared" si="14"/>
        <v>2940.8520000000003</v>
      </c>
      <c r="F38">
        <f t="shared" si="15"/>
        <v>1.1325596265096927</v>
      </c>
      <c r="G38">
        <v>456.75000000000006</v>
      </c>
      <c r="H38">
        <f t="shared" si="16"/>
        <v>2.4796050936172799E-3</v>
      </c>
      <c r="J38">
        <f t="shared" si="17"/>
        <v>1.0773038713168559</v>
      </c>
    </row>
    <row r="39" spans="2:31" x14ac:dyDescent="0.25">
      <c r="B39" s="159"/>
      <c r="C39" s="1" t="s">
        <v>453</v>
      </c>
      <c r="D39">
        <f t="shared" si="19"/>
        <v>2927.922</v>
      </c>
      <c r="E39">
        <f t="shared" si="14"/>
        <v>2821.5540000000001</v>
      </c>
      <c r="F39">
        <f t="shared" si="15"/>
        <v>1.072020704354004</v>
      </c>
      <c r="G39">
        <v>481.33333333333343</v>
      </c>
      <c r="H39">
        <f t="shared" si="16"/>
        <v>2.2271898289903127E-3</v>
      </c>
      <c r="J39">
        <f t="shared" si="17"/>
        <v>0.96763804490680905</v>
      </c>
    </row>
    <row r="40" spans="2:31" x14ac:dyDescent="0.25">
      <c r="B40" s="159"/>
      <c r="C40" s="1" t="s">
        <v>454</v>
      </c>
      <c r="D40">
        <f t="shared" si="19"/>
        <v>3037.6945000000001</v>
      </c>
      <c r="E40">
        <f t="shared" si="14"/>
        <v>2931.3265000000001</v>
      </c>
      <c r="F40">
        <f t="shared" si="15"/>
        <v>1.1277258195473463</v>
      </c>
      <c r="G40">
        <v>488.4166666666668</v>
      </c>
      <c r="H40">
        <f t="shared" si="16"/>
        <v>2.3089421318150745E-3</v>
      </c>
      <c r="J40">
        <f t="shared" si="17"/>
        <v>1.0031566331484969</v>
      </c>
    </row>
    <row r="41" spans="2:31" x14ac:dyDescent="0.25">
      <c r="B41" s="159"/>
      <c r="C41" s="1" t="s">
        <v>455</v>
      </c>
      <c r="D41">
        <f t="shared" si="19"/>
        <v>3480.7745</v>
      </c>
      <c r="E41">
        <f t="shared" si="14"/>
        <v>3374.4065000000001</v>
      </c>
      <c r="F41">
        <f t="shared" si="15"/>
        <v>1.3525710443519743</v>
      </c>
      <c r="G41">
        <v>465.08333333333337</v>
      </c>
      <c r="H41">
        <f t="shared" si="16"/>
        <v>2.908233745247033E-3</v>
      </c>
      <c r="J41">
        <f t="shared" si="17"/>
        <v>1.2635284064037842</v>
      </c>
    </row>
    <row r="42" spans="2:31" x14ac:dyDescent="0.25">
      <c r="B42" s="159"/>
      <c r="C42" s="1" t="s">
        <v>456</v>
      </c>
      <c r="D42">
        <f t="shared" si="19"/>
        <v>3223.672</v>
      </c>
      <c r="E42">
        <f t="shared" si="14"/>
        <v>3117.3040000000001</v>
      </c>
      <c r="F42">
        <f t="shared" si="15"/>
        <v>1.2221018978991172</v>
      </c>
      <c r="G42">
        <v>435.50000000000006</v>
      </c>
      <c r="H42">
        <f t="shared" si="16"/>
        <v>2.8062041283561812E-3</v>
      </c>
      <c r="J42">
        <f t="shared" si="17"/>
        <v>1.2192000165531478</v>
      </c>
    </row>
    <row r="43" spans="2:31" x14ac:dyDescent="0.25">
      <c r="B43" s="159"/>
      <c r="C43" s="1" t="s">
        <v>457</v>
      </c>
      <c r="D43">
        <f t="shared" si="19"/>
        <v>3502.366</v>
      </c>
      <c r="E43">
        <f t="shared" si="14"/>
        <v>3395.998</v>
      </c>
      <c r="F43">
        <f t="shared" si="15"/>
        <v>1.363527859535167</v>
      </c>
      <c r="G43">
        <v>415.91666666666657</v>
      </c>
      <c r="H43">
        <f t="shared" si="16"/>
        <v>3.2783679251496708E-3</v>
      </c>
      <c r="J43">
        <f t="shared" si="17"/>
        <v>1.4243390878877877</v>
      </c>
    </row>
    <row r="44" spans="2:31" x14ac:dyDescent="0.25">
      <c r="B44" s="159"/>
      <c r="C44" s="1" t="s">
        <v>458</v>
      </c>
      <c r="D44">
        <f>AVERAGE(G25:H25)</f>
        <v>3747.04</v>
      </c>
      <c r="E44">
        <f t="shared" si="14"/>
        <v>3640.672</v>
      </c>
      <c r="F44">
        <f t="shared" si="15"/>
        <v>1.4876900436415306</v>
      </c>
      <c r="G44">
        <v>441.75000000000011</v>
      </c>
      <c r="H44">
        <f t="shared" si="16"/>
        <v>3.3677193970379857E-3</v>
      </c>
      <c r="J44">
        <f t="shared" si="17"/>
        <v>1.4631592559947653</v>
      </c>
    </row>
    <row r="45" spans="2:31" x14ac:dyDescent="0.25">
      <c r="B45" s="159"/>
      <c r="C45" s="1" t="s">
        <v>459</v>
      </c>
      <c r="D45">
        <f>AVERAGE(G26:H26)</f>
        <v>3187.3829999999998</v>
      </c>
      <c r="E45">
        <f t="shared" si="14"/>
        <v>3081.0149999999999</v>
      </c>
      <c r="F45">
        <f t="shared" si="15"/>
        <v>1.2036866944077944</v>
      </c>
      <c r="G45">
        <v>399.25</v>
      </c>
      <c r="H45">
        <f t="shared" si="16"/>
        <v>3.0148696165505184E-3</v>
      </c>
      <c r="J45">
        <f t="shared" si="17"/>
        <v>1.3098580567469778</v>
      </c>
    </row>
    <row r="46" spans="2:31" x14ac:dyDescent="0.25">
      <c r="B46" s="159"/>
      <c r="C46" s="1" t="s">
        <v>460</v>
      </c>
      <c r="D46">
        <f>AVERAGE(G27:H27)</f>
        <v>3120.8850000000002</v>
      </c>
      <c r="E46">
        <f t="shared" si="14"/>
        <v>3014.5170000000003</v>
      </c>
      <c r="F46">
        <f t="shared" si="15"/>
        <v>1.16994164213945</v>
      </c>
      <c r="G46">
        <v>378</v>
      </c>
      <c r="H46">
        <f t="shared" si="16"/>
        <v>3.095083709363624E-3</v>
      </c>
      <c r="J46">
        <f t="shared" si="17"/>
        <v>1.3447083451837003</v>
      </c>
    </row>
  </sheetData>
  <mergeCells count="1">
    <mergeCell ref="B35:B46"/>
  </mergeCell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3AAC-D454-467E-A26B-5FCACD662836}">
  <dimension ref="B5:K9"/>
  <sheetViews>
    <sheetView workbookViewId="0">
      <selection activeCell="C13" sqref="C13"/>
    </sheetView>
  </sheetViews>
  <sheetFormatPr defaultRowHeight="15" x14ac:dyDescent="0.25"/>
  <cols>
    <col min="2" max="2" width="12.140625" customWidth="1"/>
  </cols>
  <sheetData>
    <row r="5" spans="2:11" x14ac:dyDescent="0.25">
      <c r="B5" s="5" t="s">
        <v>432</v>
      </c>
      <c r="C5" s="158" t="s">
        <v>13</v>
      </c>
      <c r="D5" s="158"/>
      <c r="E5" s="158"/>
      <c r="F5" s="158"/>
      <c r="G5" s="164" t="s">
        <v>461</v>
      </c>
      <c r="H5" s="164"/>
      <c r="I5" s="164"/>
      <c r="J5" s="164"/>
      <c r="K5" s="164"/>
    </row>
    <row r="6" spans="2:11" x14ac:dyDescent="0.25">
      <c r="B6" s="8">
        <v>0</v>
      </c>
      <c r="C6" s="6">
        <v>3.0894270000000001</v>
      </c>
      <c r="D6" s="6">
        <v>1.8605590000000001</v>
      </c>
      <c r="E6" s="6">
        <v>2.386056</v>
      </c>
      <c r="F6" s="6">
        <v>1.729427</v>
      </c>
      <c r="G6" s="6">
        <v>2.7309939999999999</v>
      </c>
      <c r="H6" s="6">
        <v>2.9180259999999998</v>
      </c>
      <c r="I6" s="6">
        <v>2.4806650000000001</v>
      </c>
      <c r="J6" s="6">
        <v>1.5201610000000001</v>
      </c>
      <c r="K6" s="6">
        <v>2.2601</v>
      </c>
    </row>
    <row r="7" spans="2:11" x14ac:dyDescent="0.25">
      <c r="B7" s="8">
        <v>1</v>
      </c>
      <c r="C7" s="6">
        <v>9.4668860000000006</v>
      </c>
      <c r="D7" s="6">
        <v>11.10798</v>
      </c>
      <c r="E7" s="6">
        <v>7.6908510000000003</v>
      </c>
      <c r="F7" s="6">
        <v>10.7859</v>
      </c>
      <c r="G7" s="6">
        <v>1.9959789999999999</v>
      </c>
      <c r="H7" s="6">
        <v>1.8428420000000001</v>
      </c>
      <c r="I7" s="6">
        <v>1.643826</v>
      </c>
      <c r="J7" s="6">
        <v>1.6407229999999999</v>
      </c>
      <c r="K7" s="6">
        <v>3.5596230000000002</v>
      </c>
    </row>
    <row r="8" spans="2:11" x14ac:dyDescent="0.25">
      <c r="B8" s="8">
        <v>12</v>
      </c>
      <c r="C8" s="6">
        <v>9.8276769999999996</v>
      </c>
      <c r="D8" s="6"/>
      <c r="E8" s="6">
        <v>10.320080000000001</v>
      </c>
      <c r="F8" s="6">
        <v>10.87006</v>
      </c>
      <c r="G8" s="6"/>
      <c r="H8" s="6">
        <v>6.412331</v>
      </c>
      <c r="I8" s="6">
        <v>6.2916860000000003</v>
      </c>
      <c r="J8" s="6"/>
      <c r="K8" s="6"/>
    </row>
    <row r="9" spans="2:11" x14ac:dyDescent="0.25">
      <c r="B9" s="8">
        <v>24</v>
      </c>
      <c r="C9" s="6">
        <v>10.268890000000001</v>
      </c>
      <c r="D9" s="6">
        <v>12.346640000000001</v>
      </c>
      <c r="E9" s="6"/>
      <c r="F9" s="6">
        <v>13.71293</v>
      </c>
      <c r="G9" s="6"/>
      <c r="H9" s="6">
        <v>11.28495</v>
      </c>
      <c r="I9" s="6">
        <v>14.76423</v>
      </c>
      <c r="J9" s="6">
        <v>15.76</v>
      </c>
      <c r="K9" s="6">
        <v>15.213889999999999</v>
      </c>
    </row>
  </sheetData>
  <mergeCells count="2">
    <mergeCell ref="C5:F5"/>
    <mergeCell ref="G5:K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6B29-EE3B-49E8-B322-EABAA7F66629}">
  <dimension ref="B4:E8"/>
  <sheetViews>
    <sheetView workbookViewId="0">
      <selection activeCell="F33" sqref="F33"/>
    </sheetView>
  </sheetViews>
  <sheetFormatPr defaultRowHeight="15" x14ac:dyDescent="0.25"/>
  <sheetData>
    <row r="4" spans="2:5" x14ac:dyDescent="0.25">
      <c r="B4" s="5" t="s">
        <v>16</v>
      </c>
      <c r="C4" s="5" t="s">
        <v>17</v>
      </c>
      <c r="D4" s="5" t="s">
        <v>93</v>
      </c>
      <c r="E4" s="5" t="s">
        <v>462</v>
      </c>
    </row>
    <row r="5" spans="2:5" x14ac:dyDescent="0.25">
      <c r="B5" s="6">
        <v>0.85753900000000005</v>
      </c>
      <c r="C5" s="6">
        <v>2.7765369999999998</v>
      </c>
      <c r="D5" s="6">
        <v>2.6222029999999998</v>
      </c>
      <c r="E5" s="6">
        <v>3.7969759999999999</v>
      </c>
    </row>
    <row r="6" spans="2:5" x14ac:dyDescent="0.25">
      <c r="B6" s="6">
        <v>0.84840499999999996</v>
      </c>
      <c r="C6" s="6">
        <v>1.9410019999999999</v>
      </c>
      <c r="D6" s="6">
        <v>2.8077549999999998</v>
      </c>
      <c r="E6" s="6">
        <v>2.260005</v>
      </c>
    </row>
    <row r="7" spans="2:5" x14ac:dyDescent="0.25">
      <c r="B7" s="6">
        <v>1.2940560000000001</v>
      </c>
      <c r="C7" s="6">
        <v>2.1597469999999999</v>
      </c>
      <c r="D7" s="6">
        <v>2.1355119999999999</v>
      </c>
      <c r="E7" s="6">
        <v>2.8463210000000001</v>
      </c>
    </row>
    <row r="8" spans="2:5" x14ac:dyDescent="0.25">
      <c r="B8" s="6"/>
      <c r="C8" s="6">
        <v>2.5182060000000002</v>
      </c>
      <c r="D8" s="6">
        <v>2.0553319999999999</v>
      </c>
      <c r="E8" s="6">
        <v>2.0694729999999999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FF1A-69F7-4AF2-ADD2-3740A78EE1C4}">
  <dimension ref="B3:S64"/>
  <sheetViews>
    <sheetView topLeftCell="A43" workbookViewId="0">
      <selection activeCell="I57" sqref="I57"/>
    </sheetView>
  </sheetViews>
  <sheetFormatPr defaultRowHeight="15" x14ac:dyDescent="0.25"/>
  <cols>
    <col min="2" max="2" width="9.42578125" customWidth="1"/>
  </cols>
  <sheetData>
    <row r="3" spans="2:19" x14ac:dyDescent="0.25">
      <c r="B3" t="s">
        <v>116</v>
      </c>
    </row>
    <row r="4" spans="2:19" x14ac:dyDescent="0.25">
      <c r="B4" t="s">
        <v>31</v>
      </c>
    </row>
    <row r="5" spans="2:19" x14ac:dyDescent="0.25">
      <c r="B5" t="s">
        <v>463</v>
      </c>
    </row>
    <row r="6" spans="2:19" x14ac:dyDescent="0.25">
      <c r="B6" t="s">
        <v>464</v>
      </c>
    </row>
    <row r="7" spans="2:19" x14ac:dyDescent="0.25">
      <c r="B7" t="s">
        <v>465</v>
      </c>
    </row>
    <row r="8" spans="2:19" x14ac:dyDescent="0.25">
      <c r="B8" t="s">
        <v>466</v>
      </c>
    </row>
    <row r="9" spans="2:19" x14ac:dyDescent="0.25">
      <c r="B9" t="s">
        <v>36</v>
      </c>
    </row>
    <row r="13" spans="2:19" x14ac:dyDescent="0.25">
      <c r="C13" t="s">
        <v>467</v>
      </c>
    </row>
    <row r="14" spans="2:19" x14ac:dyDescent="0.25">
      <c r="C14" s="11">
        <v>1</v>
      </c>
      <c r="D14" s="11">
        <v>2</v>
      </c>
      <c r="E14" s="11">
        <v>3</v>
      </c>
      <c r="F14" s="11">
        <v>4</v>
      </c>
      <c r="G14" s="11">
        <v>5</v>
      </c>
      <c r="H14" s="11">
        <v>6</v>
      </c>
      <c r="I14" s="11">
        <v>7</v>
      </c>
      <c r="J14" s="11">
        <v>8</v>
      </c>
      <c r="K14" s="11">
        <v>9</v>
      </c>
      <c r="L14" s="11">
        <v>10</v>
      </c>
      <c r="M14" s="11">
        <v>11</v>
      </c>
      <c r="N14" s="11">
        <v>12</v>
      </c>
    </row>
    <row r="15" spans="2:19" x14ac:dyDescent="0.25">
      <c r="B15" s="11" t="s">
        <v>38</v>
      </c>
      <c r="C15" s="12">
        <v>42986401</v>
      </c>
      <c r="D15" s="13">
        <v>43710544</v>
      </c>
      <c r="E15" s="13">
        <v>13192434</v>
      </c>
      <c r="F15" s="13">
        <v>12892874</v>
      </c>
      <c r="G15" s="13"/>
      <c r="H15" s="13">
        <f>C15/10000</f>
        <v>4298.6400999999996</v>
      </c>
      <c r="I15" s="13">
        <f t="shared" ref="I15:K22" si="0">D15/10000</f>
        <v>4371.0544</v>
      </c>
      <c r="J15" s="13">
        <f t="shared" si="0"/>
        <v>1319.2434000000001</v>
      </c>
      <c r="K15" s="13">
        <f t="shared" si="0"/>
        <v>1289.2873999999999</v>
      </c>
      <c r="L15" s="13"/>
      <c r="M15" s="13"/>
      <c r="N15" s="14"/>
      <c r="P15">
        <v>4</v>
      </c>
      <c r="Q15">
        <f>AVERAGE(H15:I15)</f>
        <v>4334.8472499999998</v>
      </c>
      <c r="R15">
        <f>Q15-$Q$20</f>
        <v>4276.4263333333329</v>
      </c>
      <c r="S15">
        <f>P15</f>
        <v>4</v>
      </c>
    </row>
    <row r="16" spans="2:19" x14ac:dyDescent="0.25">
      <c r="B16" s="11" t="s">
        <v>40</v>
      </c>
      <c r="C16" s="15">
        <v>35380377</v>
      </c>
      <c r="D16" s="16">
        <v>35566718</v>
      </c>
      <c r="E16" s="16">
        <v>13334865</v>
      </c>
      <c r="F16" s="16">
        <v>13039478</v>
      </c>
      <c r="G16" s="16"/>
      <c r="H16" s="13">
        <f t="shared" ref="H16:H22" si="1">C16/10000</f>
        <v>3538.0376999999999</v>
      </c>
      <c r="I16" s="13">
        <f t="shared" si="0"/>
        <v>3556.6718000000001</v>
      </c>
      <c r="J16" s="13">
        <f t="shared" si="0"/>
        <v>1333.4865</v>
      </c>
      <c r="K16" s="13">
        <f t="shared" si="0"/>
        <v>1303.9477999999999</v>
      </c>
      <c r="L16" s="16"/>
      <c r="M16" s="16"/>
      <c r="N16" s="17"/>
      <c r="P16">
        <v>3.2</v>
      </c>
      <c r="Q16">
        <f t="shared" ref="Q16:Q19" si="2">AVERAGE(H16:I16)</f>
        <v>3547.35475</v>
      </c>
      <c r="R16">
        <f t="shared" ref="R16:R19" si="3">Q16-$Q$20</f>
        <v>3488.9338333333335</v>
      </c>
      <c r="S16">
        <f t="shared" ref="S16:S20" si="4">P16</f>
        <v>3.2</v>
      </c>
    </row>
    <row r="17" spans="2:19" x14ac:dyDescent="0.25">
      <c r="B17" s="11" t="s">
        <v>41</v>
      </c>
      <c r="C17" s="15">
        <v>28396692</v>
      </c>
      <c r="D17" s="16">
        <v>28125255</v>
      </c>
      <c r="E17" s="16">
        <v>13358090</v>
      </c>
      <c r="F17" s="16">
        <v>13121490</v>
      </c>
      <c r="G17" s="16"/>
      <c r="H17" s="13">
        <f t="shared" si="1"/>
        <v>2839.6691999999998</v>
      </c>
      <c r="I17" s="13">
        <f t="shared" si="0"/>
        <v>2812.5255000000002</v>
      </c>
      <c r="J17" s="13">
        <f t="shared" si="0"/>
        <v>1335.809</v>
      </c>
      <c r="K17" s="13">
        <f t="shared" si="0"/>
        <v>1312.1489999999999</v>
      </c>
      <c r="L17" s="16"/>
      <c r="M17" s="16"/>
      <c r="N17" s="17"/>
      <c r="P17">
        <v>2.4</v>
      </c>
      <c r="Q17">
        <f t="shared" si="2"/>
        <v>2826.09735</v>
      </c>
      <c r="R17">
        <f t="shared" si="3"/>
        <v>2767.6764333333335</v>
      </c>
      <c r="S17">
        <f t="shared" si="4"/>
        <v>2.4</v>
      </c>
    </row>
    <row r="18" spans="2:19" x14ac:dyDescent="0.25">
      <c r="B18" s="11" t="s">
        <v>42</v>
      </c>
      <c r="C18" s="15">
        <v>20923658</v>
      </c>
      <c r="D18" s="16">
        <v>21290896</v>
      </c>
      <c r="E18" s="16">
        <v>12763506</v>
      </c>
      <c r="F18" s="16">
        <v>12567730</v>
      </c>
      <c r="G18" s="16"/>
      <c r="H18" s="13">
        <f t="shared" si="1"/>
        <v>2092.3658</v>
      </c>
      <c r="I18" s="13">
        <f t="shared" si="0"/>
        <v>2129.0895999999998</v>
      </c>
      <c r="J18" s="13">
        <f t="shared" si="0"/>
        <v>1276.3506</v>
      </c>
      <c r="K18" s="13">
        <f t="shared" si="0"/>
        <v>1256.7729999999999</v>
      </c>
      <c r="L18" s="16"/>
      <c r="M18" s="16"/>
      <c r="N18" s="17"/>
      <c r="P18">
        <v>1.6</v>
      </c>
      <c r="Q18">
        <f t="shared" si="2"/>
        <v>2110.7276999999999</v>
      </c>
      <c r="R18">
        <f t="shared" si="3"/>
        <v>2052.3067833333334</v>
      </c>
      <c r="S18">
        <f t="shared" si="4"/>
        <v>1.6</v>
      </c>
    </row>
    <row r="19" spans="2:19" x14ac:dyDescent="0.25">
      <c r="B19" s="11" t="s">
        <v>43</v>
      </c>
      <c r="C19" s="15">
        <v>12345464</v>
      </c>
      <c r="D19" s="16">
        <v>12471929</v>
      </c>
      <c r="E19" s="16">
        <v>7731043</v>
      </c>
      <c r="F19" s="16">
        <v>7956756</v>
      </c>
      <c r="G19" s="16"/>
      <c r="H19" s="13">
        <f t="shared" si="1"/>
        <v>1234.5463999999999</v>
      </c>
      <c r="I19" s="13">
        <f t="shared" si="0"/>
        <v>1247.1929</v>
      </c>
      <c r="J19" s="13">
        <f t="shared" si="0"/>
        <v>773.10429999999997</v>
      </c>
      <c r="K19" s="13">
        <f t="shared" si="0"/>
        <v>795.67560000000003</v>
      </c>
      <c r="L19" s="16"/>
      <c r="M19" s="16"/>
      <c r="N19" s="17"/>
      <c r="P19">
        <v>0.8</v>
      </c>
      <c r="Q19">
        <f t="shared" si="2"/>
        <v>1240.8696500000001</v>
      </c>
      <c r="R19">
        <f t="shared" si="3"/>
        <v>1182.4487333333334</v>
      </c>
      <c r="S19">
        <f t="shared" si="4"/>
        <v>0.8</v>
      </c>
    </row>
    <row r="20" spans="2:19" x14ac:dyDescent="0.25">
      <c r="B20" s="11" t="s">
        <v>44</v>
      </c>
      <c r="C20" s="15">
        <v>594266</v>
      </c>
      <c r="D20" s="16">
        <v>596835</v>
      </c>
      <c r="E20" s="16">
        <v>7995947</v>
      </c>
      <c r="F20" s="16">
        <v>8002661</v>
      </c>
      <c r="G20" s="16"/>
      <c r="H20" s="13">
        <f t="shared" si="1"/>
        <v>59.426600000000001</v>
      </c>
      <c r="I20" s="13">
        <f t="shared" si="0"/>
        <v>59.683500000000002</v>
      </c>
      <c r="J20" s="13">
        <f t="shared" si="0"/>
        <v>799.59469999999999</v>
      </c>
      <c r="K20" s="13">
        <f t="shared" si="0"/>
        <v>800.26610000000005</v>
      </c>
      <c r="L20" s="16"/>
      <c r="M20" s="16"/>
      <c r="N20" s="17"/>
      <c r="P20">
        <v>0</v>
      </c>
      <c r="Q20">
        <f>AVERAGE(H20:I22)</f>
        <v>58.420916666666663</v>
      </c>
      <c r="R20">
        <f>Q20-$Q$20</f>
        <v>0</v>
      </c>
      <c r="S20">
        <f t="shared" si="4"/>
        <v>0</v>
      </c>
    </row>
    <row r="21" spans="2:19" x14ac:dyDescent="0.25">
      <c r="B21" s="11" t="s">
        <v>45</v>
      </c>
      <c r="C21" s="15">
        <v>591620</v>
      </c>
      <c r="D21" s="16">
        <v>576216</v>
      </c>
      <c r="E21" s="16">
        <v>7953309</v>
      </c>
      <c r="F21" s="16">
        <v>7792007</v>
      </c>
      <c r="G21" s="16"/>
      <c r="H21" s="13">
        <f t="shared" si="1"/>
        <v>59.161999999999999</v>
      </c>
      <c r="I21" s="13">
        <f t="shared" si="0"/>
        <v>57.621600000000001</v>
      </c>
      <c r="J21" s="13">
        <f t="shared" si="0"/>
        <v>795.33090000000004</v>
      </c>
      <c r="K21" s="13">
        <f t="shared" si="0"/>
        <v>779.20069999999998</v>
      </c>
      <c r="L21" s="16"/>
      <c r="M21" s="16"/>
      <c r="N21" s="17"/>
    </row>
    <row r="22" spans="2:19" x14ac:dyDescent="0.25">
      <c r="B22" s="11" t="s">
        <v>46</v>
      </c>
      <c r="C22" s="18">
        <v>579279</v>
      </c>
      <c r="D22" s="19">
        <v>567039</v>
      </c>
      <c r="E22" s="19">
        <v>7918835</v>
      </c>
      <c r="F22" s="19">
        <v>7846621</v>
      </c>
      <c r="G22" s="19"/>
      <c r="H22" s="13">
        <f t="shared" si="1"/>
        <v>57.927900000000001</v>
      </c>
      <c r="I22" s="13">
        <f t="shared" si="0"/>
        <v>56.703899999999997</v>
      </c>
      <c r="J22" s="13">
        <f t="shared" si="0"/>
        <v>791.88350000000003</v>
      </c>
      <c r="K22" s="13">
        <f t="shared" si="0"/>
        <v>784.66210000000001</v>
      </c>
      <c r="L22" s="19"/>
      <c r="M22" s="19"/>
      <c r="N22" s="20"/>
    </row>
    <row r="24" spans="2:19" x14ac:dyDescent="0.25">
      <c r="D24" s="1"/>
      <c r="E24" s="1"/>
      <c r="F24" s="1" t="s">
        <v>468</v>
      </c>
    </row>
    <row r="25" spans="2:19" x14ac:dyDescent="0.25">
      <c r="D25" s="1" t="s">
        <v>47</v>
      </c>
      <c r="E25" s="1" t="s">
        <v>48</v>
      </c>
      <c r="F25" s="1" t="s">
        <v>228</v>
      </c>
    </row>
    <row r="26" spans="2:19" x14ac:dyDescent="0.25">
      <c r="B26" s="129" t="s">
        <v>469</v>
      </c>
      <c r="C26">
        <v>1</v>
      </c>
      <c r="D26">
        <f>AVERAGE(J15:K15)</f>
        <v>1304.2654</v>
      </c>
      <c r="E26">
        <f t="shared" ref="E26:E29" si="5">D26-58.42092</f>
        <v>1245.84448</v>
      </c>
      <c r="F26">
        <f t="shared" ref="F26:F29" si="6">E26*0.001-0.4858</f>
        <v>0.76004447999999991</v>
      </c>
      <c r="G26">
        <f>(F26/50)*1000</f>
        <v>15.200889599999998</v>
      </c>
      <c r="H26">
        <f>AVERAGE(G26:G29)</f>
        <v>15.183198349999998</v>
      </c>
      <c r="I26">
        <f>_xlfn.STDEV.P(G26:G29)</f>
        <v>0.44898894782799187</v>
      </c>
    </row>
    <row r="27" spans="2:19" x14ac:dyDescent="0.25">
      <c r="C27">
        <v>1</v>
      </c>
      <c r="D27">
        <f t="shared" ref="D27:D29" si="7">AVERAGE(J16:K16)</f>
        <v>1318.7171499999999</v>
      </c>
      <c r="E27">
        <f t="shared" si="5"/>
        <v>1260.2962299999999</v>
      </c>
      <c r="F27">
        <f t="shared" si="6"/>
        <v>0.77449623000000001</v>
      </c>
      <c r="G27">
        <f t="shared" ref="G27:G29" si="8">(F27/50)*1000</f>
        <v>15.4899246</v>
      </c>
    </row>
    <row r="28" spans="2:19" x14ac:dyDescent="0.25">
      <c r="C28">
        <v>1</v>
      </c>
      <c r="D28">
        <f t="shared" si="7"/>
        <v>1323.9789999999998</v>
      </c>
      <c r="E28">
        <f t="shared" si="5"/>
        <v>1265.5580799999998</v>
      </c>
      <c r="F28">
        <f t="shared" si="6"/>
        <v>0.77975807999999991</v>
      </c>
      <c r="G28">
        <f t="shared" si="8"/>
        <v>15.595161599999997</v>
      </c>
    </row>
    <row r="29" spans="2:19" x14ac:dyDescent="0.25">
      <c r="C29">
        <v>1</v>
      </c>
      <c r="D29">
        <f t="shared" si="7"/>
        <v>1266.5617999999999</v>
      </c>
      <c r="E29">
        <f t="shared" si="5"/>
        <v>1208.1408799999999</v>
      </c>
      <c r="F29">
        <f t="shared" si="6"/>
        <v>0.72234087999999996</v>
      </c>
      <c r="G29">
        <f t="shared" si="8"/>
        <v>14.446817599999999</v>
      </c>
    </row>
    <row r="40" spans="2:19" x14ac:dyDescent="0.25">
      <c r="B40" t="s">
        <v>470</v>
      </c>
    </row>
    <row r="41" spans="2:19" x14ac:dyDescent="0.25">
      <c r="B41" t="s">
        <v>471</v>
      </c>
    </row>
    <row r="42" spans="2:19" x14ac:dyDescent="0.25">
      <c r="B42" t="s">
        <v>125</v>
      </c>
      <c r="E42" t="s">
        <v>126</v>
      </c>
    </row>
    <row r="46" spans="2:19" x14ac:dyDescent="0.25">
      <c r="C46" t="s">
        <v>315</v>
      </c>
    </row>
    <row r="47" spans="2:19" x14ac:dyDescent="0.25">
      <c r="C47" s="11">
        <v>1</v>
      </c>
      <c r="D47" s="11">
        <v>2</v>
      </c>
      <c r="E47" s="11">
        <v>3</v>
      </c>
      <c r="F47" s="11">
        <v>4</v>
      </c>
      <c r="G47" s="11">
        <v>5</v>
      </c>
      <c r="H47" s="11">
        <v>6</v>
      </c>
      <c r="I47" s="11">
        <v>7</v>
      </c>
      <c r="J47" s="11">
        <v>8</v>
      </c>
      <c r="K47" s="11">
        <v>9</v>
      </c>
      <c r="L47" s="11">
        <v>10</v>
      </c>
      <c r="M47" s="11">
        <v>11</v>
      </c>
      <c r="N47" s="11">
        <v>12</v>
      </c>
    </row>
    <row r="48" spans="2:19" x14ac:dyDescent="0.25">
      <c r="B48" s="11" t="s">
        <v>38</v>
      </c>
      <c r="C48" s="12">
        <v>0.51800000000000002</v>
      </c>
      <c r="D48" s="13">
        <v>0.51500000000000001</v>
      </c>
      <c r="E48" s="13">
        <v>0.68500000000000005</v>
      </c>
      <c r="F48" s="13">
        <v>0.66300000000000003</v>
      </c>
      <c r="G48" s="13">
        <v>0.22</v>
      </c>
      <c r="H48" s="13">
        <v>0.224</v>
      </c>
      <c r="I48" s="13"/>
      <c r="J48" s="13"/>
      <c r="K48" s="13"/>
      <c r="L48" s="13"/>
      <c r="M48" s="13"/>
      <c r="N48" s="14"/>
      <c r="P48">
        <v>10</v>
      </c>
      <c r="Q48">
        <f>AVERAGE(C48:D48)</f>
        <v>0.51649999999999996</v>
      </c>
      <c r="R48">
        <f>Q48-0.1075</f>
        <v>0.40899999999999997</v>
      </c>
      <c r="S48">
        <v>10</v>
      </c>
    </row>
    <row r="49" spans="2:19" x14ac:dyDescent="0.25">
      <c r="B49" s="11" t="s">
        <v>40</v>
      </c>
      <c r="C49" s="15">
        <v>0.32700000000000001</v>
      </c>
      <c r="D49" s="16">
        <v>0.32700000000000001</v>
      </c>
      <c r="E49" s="16">
        <v>0.8</v>
      </c>
      <c r="F49" s="16">
        <v>0.74399999999999999</v>
      </c>
      <c r="G49" s="16"/>
      <c r="H49" s="16"/>
      <c r="I49" s="16"/>
      <c r="J49" s="16"/>
      <c r="K49" s="16"/>
      <c r="L49" s="16"/>
      <c r="M49" s="16"/>
      <c r="N49" s="17"/>
      <c r="P49">
        <v>5</v>
      </c>
      <c r="Q49">
        <f t="shared" ref="Q49:Q52" si="9">AVERAGE(C49:D49)</f>
        <v>0.32700000000000001</v>
      </c>
      <c r="R49">
        <f t="shared" ref="R49:R52" si="10">Q49-0.1075</f>
        <v>0.21950000000000003</v>
      </c>
      <c r="S49">
        <v>5</v>
      </c>
    </row>
    <row r="50" spans="2:19" x14ac:dyDescent="0.25">
      <c r="B50" s="11" t="s">
        <v>41</v>
      </c>
      <c r="C50" s="15">
        <v>0.20399999999999999</v>
      </c>
      <c r="D50" s="16">
        <v>0.20899999999999999</v>
      </c>
      <c r="E50" s="16">
        <v>0.28899999999999998</v>
      </c>
      <c r="F50" s="16">
        <v>0.26700000000000002</v>
      </c>
      <c r="G50" s="16"/>
      <c r="H50" s="16"/>
      <c r="I50" s="16"/>
      <c r="J50" s="16"/>
      <c r="K50" s="16"/>
      <c r="L50" s="16"/>
      <c r="M50" s="16"/>
      <c r="N50" s="17"/>
      <c r="P50">
        <v>2.5</v>
      </c>
      <c r="Q50">
        <f t="shared" si="9"/>
        <v>0.20649999999999999</v>
      </c>
      <c r="R50">
        <f t="shared" si="10"/>
        <v>9.8999999999999991E-2</v>
      </c>
      <c r="S50">
        <v>2.5</v>
      </c>
    </row>
    <row r="51" spans="2:19" x14ac:dyDescent="0.25">
      <c r="B51" s="11" t="s">
        <v>42</v>
      </c>
      <c r="C51" s="15">
        <v>0.158</v>
      </c>
      <c r="D51" s="16">
        <v>0.16300000000000001</v>
      </c>
      <c r="E51" s="16">
        <v>0.40600000000000003</v>
      </c>
      <c r="F51" s="16">
        <v>0.39700000000000002</v>
      </c>
      <c r="G51" s="16"/>
      <c r="H51" s="16"/>
      <c r="I51" s="16"/>
      <c r="J51" s="16"/>
      <c r="K51" s="16"/>
      <c r="L51" s="16"/>
      <c r="M51" s="16"/>
      <c r="N51" s="17"/>
      <c r="P51">
        <v>1.25</v>
      </c>
      <c r="Q51">
        <f t="shared" si="9"/>
        <v>0.1605</v>
      </c>
      <c r="R51">
        <f t="shared" si="10"/>
        <v>5.3000000000000005E-2</v>
      </c>
      <c r="S51">
        <v>1.25</v>
      </c>
    </row>
    <row r="52" spans="2:19" x14ac:dyDescent="0.25">
      <c r="B52" s="11" t="s">
        <v>43</v>
      </c>
      <c r="C52" s="15">
        <v>0.108</v>
      </c>
      <c r="D52" s="16">
        <v>0.107</v>
      </c>
      <c r="E52" s="16">
        <v>1.6120000000000001</v>
      </c>
      <c r="F52" s="16">
        <v>1.4019999999999999</v>
      </c>
      <c r="G52" s="16"/>
      <c r="H52" s="16"/>
      <c r="I52" s="16"/>
      <c r="J52" s="16"/>
      <c r="K52" s="16"/>
      <c r="L52" s="16"/>
      <c r="M52" s="16"/>
      <c r="N52" s="17"/>
      <c r="P52">
        <v>0</v>
      </c>
      <c r="Q52">
        <f t="shared" si="9"/>
        <v>0.1075</v>
      </c>
      <c r="R52">
        <f t="shared" si="10"/>
        <v>0</v>
      </c>
      <c r="S52">
        <v>0</v>
      </c>
    </row>
    <row r="53" spans="2:19" x14ac:dyDescent="0.25">
      <c r="B53" s="11" t="s">
        <v>44</v>
      </c>
      <c r="C53" s="15"/>
      <c r="D53" s="16"/>
      <c r="E53" s="16">
        <v>1.2749999999999999</v>
      </c>
      <c r="F53" s="16">
        <v>1.2050000000000001</v>
      </c>
      <c r="G53" s="16"/>
      <c r="H53" s="16"/>
      <c r="I53" s="16"/>
      <c r="J53" s="16"/>
      <c r="K53" s="16"/>
      <c r="L53" s="16"/>
      <c r="M53" s="16"/>
      <c r="N53" s="17"/>
    </row>
    <row r="54" spans="2:19" x14ac:dyDescent="0.25">
      <c r="B54" s="11" t="s">
        <v>45</v>
      </c>
      <c r="C54" s="15"/>
      <c r="D54" s="16"/>
      <c r="E54" s="16">
        <v>0.221</v>
      </c>
      <c r="F54" s="16">
        <v>0.219</v>
      </c>
      <c r="G54" s="16"/>
      <c r="H54" s="16"/>
      <c r="I54" s="16"/>
      <c r="J54" s="16"/>
      <c r="K54" s="16"/>
      <c r="L54" s="16"/>
      <c r="M54" s="16"/>
      <c r="N54" s="17"/>
    </row>
    <row r="55" spans="2:19" x14ac:dyDescent="0.25">
      <c r="B55" s="11" t="s">
        <v>46</v>
      </c>
      <c r="C55" s="18"/>
      <c r="D55" s="19"/>
      <c r="E55" s="19">
        <v>0.217</v>
      </c>
      <c r="F55" s="19">
        <v>0.224</v>
      </c>
      <c r="G55" s="19"/>
      <c r="H55" s="19"/>
      <c r="I55" s="19"/>
      <c r="J55" s="19"/>
      <c r="K55" s="19"/>
      <c r="L55" s="19"/>
      <c r="M55" s="19"/>
      <c r="N55" s="20"/>
    </row>
    <row r="56" spans="2:19" x14ac:dyDescent="0.25">
      <c r="D56" s="1"/>
      <c r="E56" s="1"/>
      <c r="F56" s="1" t="s">
        <v>468</v>
      </c>
    </row>
    <row r="57" spans="2:19" x14ac:dyDescent="0.25">
      <c r="D57" s="1" t="s">
        <v>47</v>
      </c>
      <c r="E57" s="1" t="s">
        <v>48</v>
      </c>
      <c r="F57" s="1" t="s">
        <v>325</v>
      </c>
      <c r="G57" s="1" t="s">
        <v>417</v>
      </c>
    </row>
    <row r="58" spans="2:19" x14ac:dyDescent="0.25">
      <c r="B58" s="159" t="s">
        <v>472</v>
      </c>
      <c r="C58" s="1">
        <v>1</v>
      </c>
      <c r="D58">
        <f>AVERAGE(E54:F54)</f>
        <v>0.22</v>
      </c>
      <c r="E58">
        <f t="shared" ref="E58:E60" si="11">D58-0.1075</f>
        <v>0.1125</v>
      </c>
      <c r="F58">
        <f t="shared" ref="F58:F60" si="12">E58*24.233-0.0327</f>
        <v>2.6935124999999998</v>
      </c>
      <c r="G58">
        <v>160.22059999999999</v>
      </c>
    </row>
    <row r="59" spans="2:19" x14ac:dyDescent="0.25">
      <c r="B59" s="159"/>
      <c r="C59" s="1">
        <v>2</v>
      </c>
      <c r="D59">
        <f>AVERAGE(E55:F55)</f>
        <v>0.2205</v>
      </c>
      <c r="E59">
        <f t="shared" si="11"/>
        <v>0.113</v>
      </c>
      <c r="F59">
        <f t="shared" si="12"/>
        <v>2.7056290000000001</v>
      </c>
      <c r="G59">
        <v>160.94210000000001</v>
      </c>
    </row>
    <row r="60" spans="2:19" x14ac:dyDescent="0.25">
      <c r="B60" s="159"/>
      <c r="C60" s="1">
        <v>3</v>
      </c>
      <c r="D60">
        <f>AVERAGE(G48:H48)</f>
        <v>0.222</v>
      </c>
      <c r="E60">
        <f t="shared" si="11"/>
        <v>0.1145</v>
      </c>
      <c r="F60">
        <f t="shared" si="12"/>
        <v>2.7419785000000001</v>
      </c>
      <c r="G60">
        <v>168.11199999999999</v>
      </c>
    </row>
    <row r="63" spans="2:19" x14ac:dyDescent="0.25">
      <c r="F63">
        <f>AVERAGE(F58:F59)</f>
        <v>2.6995707499999999</v>
      </c>
    </row>
    <row r="64" spans="2:19" x14ac:dyDescent="0.25">
      <c r="F64">
        <f>_xlfn.STDEV.P(F58:F60)</f>
        <v>2.0594089978815774E-2</v>
      </c>
    </row>
  </sheetData>
  <mergeCells count="1">
    <mergeCell ref="B58:B60"/>
  </mergeCells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9811D-808A-488B-A584-42E022468586}">
  <dimension ref="A3:AN39"/>
  <sheetViews>
    <sheetView topLeftCell="T21" workbookViewId="0">
      <selection activeCell="AG34" sqref="AG34:AH39"/>
    </sheetView>
  </sheetViews>
  <sheetFormatPr defaultRowHeight="15" x14ac:dyDescent="0.25"/>
  <cols>
    <col min="1" max="1" width="4.28515625" customWidth="1"/>
    <col min="6" max="6" width="10.42578125" customWidth="1"/>
    <col min="24" max="25" width="10.5703125" bestFit="1" customWidth="1"/>
    <col min="26" max="26" width="12.28515625" customWidth="1"/>
    <col min="27" max="27" width="14.5703125" customWidth="1"/>
    <col min="28" max="28" width="9.140625" customWidth="1"/>
  </cols>
  <sheetData>
    <row r="3" spans="1:24" x14ac:dyDescent="0.25">
      <c r="A3" t="s">
        <v>116</v>
      </c>
    </row>
    <row r="4" spans="1:24" x14ac:dyDescent="0.25">
      <c r="A4" t="s">
        <v>31</v>
      </c>
    </row>
    <row r="5" spans="1:24" x14ac:dyDescent="0.25">
      <c r="A5" t="s">
        <v>473</v>
      </c>
    </row>
    <row r="6" spans="1:24" x14ac:dyDescent="0.25">
      <c r="A6" t="s">
        <v>464</v>
      </c>
    </row>
    <row r="7" spans="1:24" x14ac:dyDescent="0.25">
      <c r="A7" t="s">
        <v>474</v>
      </c>
    </row>
    <row r="8" spans="1:24" x14ac:dyDescent="0.25">
      <c r="A8" t="s">
        <v>475</v>
      </c>
    </row>
    <row r="9" spans="1:24" x14ac:dyDescent="0.25">
      <c r="A9" t="s">
        <v>36</v>
      </c>
    </row>
    <row r="13" spans="1:24" x14ac:dyDescent="0.25">
      <c r="B13" t="s">
        <v>467</v>
      </c>
      <c r="X13" t="s">
        <v>31</v>
      </c>
    </row>
    <row r="14" spans="1:24" x14ac:dyDescent="0.25">
      <c r="B14" s="11">
        <v>1</v>
      </c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1">
        <v>7</v>
      </c>
      <c r="I14" s="11">
        <v>8</v>
      </c>
      <c r="J14" s="11">
        <v>9</v>
      </c>
      <c r="K14" s="11">
        <v>10</v>
      </c>
      <c r="L14" s="11">
        <v>11</v>
      </c>
      <c r="M14" s="11">
        <v>12</v>
      </c>
      <c r="X14" t="s">
        <v>476</v>
      </c>
    </row>
    <row r="15" spans="1:24" x14ac:dyDescent="0.25">
      <c r="A15" s="11" t="s">
        <v>38</v>
      </c>
      <c r="B15" s="12">
        <v>817201</v>
      </c>
      <c r="C15" s="13">
        <v>839275</v>
      </c>
      <c r="D15" s="13">
        <v>29304262</v>
      </c>
      <c r="E15" s="13">
        <v>29988116</v>
      </c>
      <c r="F15" s="42">
        <v>39842849.299999997</v>
      </c>
      <c r="G15" s="42">
        <v>40548291.299999997</v>
      </c>
      <c r="H15" s="34"/>
      <c r="I15" s="34"/>
      <c r="J15" s="34"/>
      <c r="K15" s="34"/>
      <c r="L15" s="13"/>
      <c r="M15" s="14"/>
      <c r="X15" t="s">
        <v>120</v>
      </c>
    </row>
    <row r="16" spans="1:24" x14ac:dyDescent="0.25">
      <c r="A16" s="11" t="s">
        <v>40</v>
      </c>
      <c r="B16" s="15">
        <v>10812646</v>
      </c>
      <c r="C16" s="16">
        <v>10601448</v>
      </c>
      <c r="D16" s="40">
        <v>21027160.399999999</v>
      </c>
      <c r="E16" s="40">
        <v>21421531.199999999</v>
      </c>
      <c r="F16" s="40">
        <v>44094121.399999999</v>
      </c>
      <c r="G16" s="40">
        <v>44950548.299999997</v>
      </c>
      <c r="L16" s="16"/>
      <c r="M16" s="17"/>
      <c r="P16" s="11">
        <v>4</v>
      </c>
      <c r="Q16">
        <f>AVERAGE(B20:C20)/1000</f>
        <v>42001.616499999996</v>
      </c>
      <c r="R16">
        <f>Q16-$Q$21</f>
        <v>41173.378499999999</v>
      </c>
      <c r="X16" t="s">
        <v>474</v>
      </c>
    </row>
    <row r="17" spans="1:40" x14ac:dyDescent="0.25">
      <c r="A17" s="11" t="s">
        <v>41</v>
      </c>
      <c r="B17" s="15">
        <v>19874745</v>
      </c>
      <c r="C17" s="16">
        <v>19822308</v>
      </c>
      <c r="D17" s="40">
        <v>29123909.100000001</v>
      </c>
      <c r="E17" s="40">
        <v>29718210.100000001</v>
      </c>
      <c r="F17" s="40">
        <v>38292417.299999997</v>
      </c>
      <c r="G17" s="40">
        <v>38987940.5</v>
      </c>
      <c r="L17" s="16"/>
      <c r="M17" s="17"/>
      <c r="P17" s="11">
        <v>3.2</v>
      </c>
      <c r="Q17">
        <f>AVERAGE(B19:C19)/1000</f>
        <v>32972.103499999997</v>
      </c>
      <c r="R17">
        <f t="shared" ref="R17:R21" si="0">Q17-$Q$21</f>
        <v>32143.865499999996</v>
      </c>
      <c r="X17" t="s">
        <v>477</v>
      </c>
    </row>
    <row r="18" spans="1:40" x14ac:dyDescent="0.25">
      <c r="A18" s="11" t="s">
        <v>42</v>
      </c>
      <c r="B18" s="15">
        <v>27186477</v>
      </c>
      <c r="C18" s="16">
        <v>26711100</v>
      </c>
      <c r="J18" s="16"/>
      <c r="K18" s="16"/>
      <c r="L18" s="16"/>
      <c r="M18" s="17"/>
      <c r="P18" s="11">
        <v>2.4</v>
      </c>
      <c r="Q18">
        <f>AVERAGE(B18:C18)/1000</f>
        <v>26948.788499999999</v>
      </c>
      <c r="R18">
        <f t="shared" si="0"/>
        <v>26120.550499999998</v>
      </c>
      <c r="X18" t="s">
        <v>125</v>
      </c>
      <c r="AA18" t="s">
        <v>126</v>
      </c>
    </row>
    <row r="19" spans="1:40" x14ac:dyDescent="0.25">
      <c r="A19" s="11" t="s">
        <v>43</v>
      </c>
      <c r="B19" s="15">
        <v>33630918</v>
      </c>
      <c r="C19" s="16">
        <v>32313289</v>
      </c>
      <c r="J19" s="16"/>
      <c r="K19" s="16"/>
      <c r="L19" s="16"/>
      <c r="M19" s="17"/>
      <c r="P19" s="11">
        <v>1.6</v>
      </c>
      <c r="Q19">
        <f>AVERAGE(B17:C17)/1000</f>
        <v>19848.5265</v>
      </c>
      <c r="R19">
        <f t="shared" si="0"/>
        <v>19020.288499999999</v>
      </c>
    </row>
    <row r="20" spans="1:40" x14ac:dyDescent="0.25">
      <c r="A20" s="11" t="s">
        <v>44</v>
      </c>
      <c r="B20" s="15">
        <v>41789766</v>
      </c>
      <c r="C20" s="16">
        <v>42213467</v>
      </c>
      <c r="J20" s="16"/>
      <c r="K20" s="16"/>
      <c r="L20" s="16"/>
      <c r="M20" s="17"/>
      <c r="P20" s="11">
        <v>0.8</v>
      </c>
      <c r="Q20">
        <f>AVERAGE(B16:C16)/1000</f>
        <v>10707.047</v>
      </c>
      <c r="R20">
        <f t="shared" si="0"/>
        <v>9878.8090000000011</v>
      </c>
    </row>
    <row r="21" spans="1:40" x14ac:dyDescent="0.25">
      <c r="A21" s="11" t="s">
        <v>45</v>
      </c>
      <c r="B21" s="15"/>
      <c r="C21" s="16"/>
      <c r="F21" s="16"/>
      <c r="G21" s="16"/>
      <c r="H21" s="16"/>
      <c r="I21" s="16"/>
      <c r="J21" s="16"/>
      <c r="K21" s="16"/>
      <c r="L21" s="16"/>
      <c r="M21" s="17"/>
      <c r="P21" s="11">
        <v>0</v>
      </c>
      <c r="Q21">
        <f>AVERAGE(B15:C15)/1000</f>
        <v>828.23800000000006</v>
      </c>
      <c r="R21">
        <f t="shared" si="0"/>
        <v>0</v>
      </c>
    </row>
    <row r="22" spans="1:40" x14ac:dyDescent="0.25">
      <c r="A22" s="11" t="s">
        <v>46</v>
      </c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20"/>
      <c r="Y22" t="s">
        <v>128</v>
      </c>
    </row>
    <row r="23" spans="1:40" x14ac:dyDescent="0.25">
      <c r="F23" s="1" t="s">
        <v>468</v>
      </c>
      <c r="G23" s="1" t="s">
        <v>68</v>
      </c>
      <c r="Y23" s="11">
        <v>1</v>
      </c>
      <c r="Z23" s="11">
        <v>2</v>
      </c>
      <c r="AA23" s="11">
        <v>3</v>
      </c>
      <c r="AB23" s="11">
        <v>4</v>
      </c>
      <c r="AC23" s="11">
        <v>5</v>
      </c>
      <c r="AD23" s="11">
        <v>6</v>
      </c>
      <c r="AE23" s="11">
        <v>7</v>
      </c>
      <c r="AF23" s="11">
        <v>8</v>
      </c>
      <c r="AG23" s="11">
        <v>9</v>
      </c>
      <c r="AH23" s="11">
        <v>10</v>
      </c>
      <c r="AI23" s="11">
        <v>11</v>
      </c>
      <c r="AJ23" s="11">
        <v>12</v>
      </c>
    </row>
    <row r="24" spans="1:40" x14ac:dyDescent="0.25">
      <c r="D24" s="1" t="s">
        <v>47</v>
      </c>
      <c r="E24" s="1" t="s">
        <v>48</v>
      </c>
      <c r="F24" s="1" t="s">
        <v>39</v>
      </c>
      <c r="G24" s="1" t="s">
        <v>443</v>
      </c>
      <c r="H24" s="1" t="s">
        <v>446</v>
      </c>
      <c r="I24" s="1" t="s">
        <v>6</v>
      </c>
      <c r="J24" s="1" t="s">
        <v>66</v>
      </c>
      <c r="X24" s="11" t="s">
        <v>38</v>
      </c>
      <c r="Y24" s="12">
        <v>0.71699999999999997</v>
      </c>
      <c r="Z24" s="13">
        <v>0.69499999999999995</v>
      </c>
      <c r="AA24" s="13">
        <v>0.38500000000000001</v>
      </c>
      <c r="AB24" s="13">
        <v>0.39300000000000002</v>
      </c>
      <c r="AC24" s="13">
        <v>0.35</v>
      </c>
      <c r="AD24" s="13">
        <v>0.34499999999999997</v>
      </c>
      <c r="AE24" s="13">
        <v>0.42899999999999999</v>
      </c>
      <c r="AF24" s="13">
        <v>0.41</v>
      </c>
      <c r="AG24" s="13">
        <v>0.36</v>
      </c>
      <c r="AH24" s="13">
        <v>0.33800000000000002</v>
      </c>
      <c r="AI24" s="13"/>
      <c r="AJ24" s="14"/>
      <c r="AL24">
        <v>2000</v>
      </c>
      <c r="AM24">
        <f>AVERAGE(Y24:Z24)</f>
        <v>0.70599999999999996</v>
      </c>
      <c r="AN24">
        <f>AM24-$P$23</f>
        <v>0.70599999999999996</v>
      </c>
    </row>
    <row r="25" spans="1:40" x14ac:dyDescent="0.25">
      <c r="B25" s="159" t="s">
        <v>13</v>
      </c>
      <c r="C25" s="98">
        <v>1</v>
      </c>
      <c r="D25">
        <f>AVERAGE(D15:E15)/1000</f>
        <v>29646.188999999998</v>
      </c>
      <c r="E25">
        <f>D25-$Q$21</f>
        <v>28817.950999999997</v>
      </c>
      <c r="F25">
        <f>(E25-1406.5)/9991.5</f>
        <v>2.7434770554971721</v>
      </c>
      <c r="G25" s="3">
        <v>249.00000000000006</v>
      </c>
      <c r="H25">
        <f>F25/G25</f>
        <v>1.1017980142558921E-2</v>
      </c>
      <c r="I25">
        <f>AVERAGE(H25:H27)</f>
        <v>9.2812221632339407E-3</v>
      </c>
      <c r="J25">
        <f>H25/$I$25</f>
        <v>1.1871260000870216</v>
      </c>
      <c r="X25" s="11" t="s">
        <v>40</v>
      </c>
      <c r="Y25" s="15">
        <v>0.44800000000000001</v>
      </c>
      <c r="Z25" s="16">
        <v>0.439</v>
      </c>
      <c r="AA25" s="16">
        <v>0.39800000000000002</v>
      </c>
      <c r="AB25" s="16">
        <v>0.38700000000000001</v>
      </c>
      <c r="AC25" s="16">
        <v>0.40899999999999997</v>
      </c>
      <c r="AD25" s="16">
        <v>0.371</v>
      </c>
      <c r="AE25" s="16">
        <v>0.40200000000000002</v>
      </c>
      <c r="AF25" s="16">
        <v>0.38700000000000001</v>
      </c>
      <c r="AG25" s="16">
        <v>0.35699999999999998</v>
      </c>
      <c r="AH25" s="16">
        <v>0.36599999999999999</v>
      </c>
      <c r="AI25" s="16"/>
      <c r="AJ25" s="17"/>
      <c r="AL25">
        <f>AL24/2</f>
        <v>1000</v>
      </c>
      <c r="AM25">
        <f t="shared" ref="AM25:AM30" si="1">AVERAGE(Y25:Z25)</f>
        <v>0.44350000000000001</v>
      </c>
    </row>
    <row r="26" spans="1:40" x14ac:dyDescent="0.25">
      <c r="B26" s="159"/>
      <c r="C26" s="98">
        <v>2</v>
      </c>
      <c r="D26">
        <f t="shared" ref="D26" si="2">AVERAGE(D16:E16)/1000</f>
        <v>21224.345799999996</v>
      </c>
      <c r="E26">
        <f t="shared" ref="E26:E30" si="3">D26-$Q$21</f>
        <v>20396.107799999994</v>
      </c>
      <c r="F26">
        <f t="shared" ref="F26:F30" si="4">(E26-1406.5)/9991.5</f>
        <v>1.9005762698293545</v>
      </c>
      <c r="G26">
        <v>251.91666666666669</v>
      </c>
      <c r="H26">
        <f t="shared" ref="H26:H30" si="5">F26/G26</f>
        <v>7.5444641872154323E-3</v>
      </c>
      <c r="J26">
        <f t="shared" ref="J26:J30" si="6">H26/$I$25</f>
        <v>0.8128740002692324</v>
      </c>
      <c r="X26" s="11" t="s">
        <v>41</v>
      </c>
      <c r="Y26" s="15">
        <v>0.26600000000000001</v>
      </c>
      <c r="Z26" s="16">
        <v>0.30299999999999999</v>
      </c>
      <c r="AA26" s="16">
        <v>0.45900000000000002</v>
      </c>
      <c r="AB26" s="16">
        <v>0.42499999999999999</v>
      </c>
      <c r="AC26" s="16">
        <v>0.41299999999999998</v>
      </c>
      <c r="AD26" s="16">
        <v>0.39700000000000002</v>
      </c>
      <c r="AE26" s="16">
        <v>0.38600000000000001</v>
      </c>
      <c r="AF26" s="16">
        <v>0.38</v>
      </c>
      <c r="AG26" s="16">
        <v>0.38500000000000001</v>
      </c>
      <c r="AH26" s="16">
        <v>0.35</v>
      </c>
      <c r="AI26" s="16"/>
      <c r="AJ26" s="17"/>
      <c r="AL26">
        <f t="shared" ref="AL26:AL31" si="7">AL25/2</f>
        <v>500</v>
      </c>
      <c r="AM26">
        <f t="shared" si="1"/>
        <v>0.28449999999999998</v>
      </c>
    </row>
    <row r="27" spans="1:40" x14ac:dyDescent="0.25">
      <c r="B27" s="159"/>
      <c r="C27" s="98">
        <v>3</v>
      </c>
      <c r="D27">
        <f>AVERAGE(D17:E17)/1000</f>
        <v>29421.059600000001</v>
      </c>
      <c r="E27">
        <f t="shared" si="3"/>
        <v>28592.821599999999</v>
      </c>
      <c r="F27">
        <f t="shared" si="4"/>
        <v>2.7209449632187357</v>
      </c>
      <c r="G27">
        <v>293.16666666666669</v>
      </c>
      <c r="H27">
        <f t="shared" si="5"/>
        <v>9.2812221599274658E-3</v>
      </c>
      <c r="J27">
        <f t="shared" si="6"/>
        <v>0.99999999964374575</v>
      </c>
      <c r="X27" s="11" t="s">
        <v>42</v>
      </c>
      <c r="Y27" s="15">
        <v>0.16400000000000001</v>
      </c>
      <c r="Z27" s="16">
        <v>0.17699999999999999</v>
      </c>
      <c r="AA27" s="16">
        <v>0.32600000000000001</v>
      </c>
      <c r="AB27" s="16">
        <v>0.32800000000000001</v>
      </c>
      <c r="AC27" s="16">
        <v>0.38300000000000001</v>
      </c>
      <c r="AD27" s="16">
        <v>0.39300000000000002</v>
      </c>
      <c r="AE27" s="16">
        <v>0.43099999999999999</v>
      </c>
      <c r="AF27" s="16">
        <v>0.44</v>
      </c>
      <c r="AG27" s="16"/>
      <c r="AH27" s="16"/>
      <c r="AI27" s="16"/>
      <c r="AJ27" s="17"/>
      <c r="AL27">
        <f t="shared" si="7"/>
        <v>250</v>
      </c>
      <c r="AM27">
        <f t="shared" si="1"/>
        <v>0.17049999999999998</v>
      </c>
      <c r="AN27">
        <f t="shared" ref="AN27:AN32" si="8">AM27-$P$23</f>
        <v>0.17049999999999998</v>
      </c>
    </row>
    <row r="28" spans="1:40" x14ac:dyDescent="0.25">
      <c r="B28" s="159" t="s">
        <v>478</v>
      </c>
      <c r="C28" s="98">
        <v>1</v>
      </c>
      <c r="D28">
        <f>AVERAGE(F15:G15)/1000</f>
        <v>40195.570299999999</v>
      </c>
      <c r="E28">
        <f t="shared" si="3"/>
        <v>39367.332300000002</v>
      </c>
      <c r="F28">
        <f t="shared" si="4"/>
        <v>3.7993126457488868</v>
      </c>
      <c r="G28">
        <v>197.33333333333337</v>
      </c>
      <c r="H28">
        <f t="shared" si="5"/>
        <v>1.9253273542646384E-2</v>
      </c>
      <c r="J28">
        <f t="shared" si="6"/>
        <v>2.0744330007437073</v>
      </c>
      <c r="X28" s="11" t="s">
        <v>43</v>
      </c>
      <c r="Y28" s="15">
        <v>0.126</v>
      </c>
      <c r="Z28" s="16">
        <v>0.14699999999999999</v>
      </c>
      <c r="AA28" s="16">
        <v>0.39400000000000002</v>
      </c>
      <c r="AB28" s="16">
        <v>0.36699999999999999</v>
      </c>
      <c r="AC28" s="16">
        <v>0.36299999999999999</v>
      </c>
      <c r="AD28" s="16">
        <v>0.35399999999999998</v>
      </c>
      <c r="AE28" s="16">
        <v>0.379</v>
      </c>
      <c r="AF28" s="16">
        <v>0.39300000000000002</v>
      </c>
      <c r="AG28" s="16"/>
      <c r="AH28" s="16"/>
      <c r="AI28" s="16"/>
      <c r="AJ28" s="17"/>
      <c r="AL28">
        <f t="shared" si="7"/>
        <v>125</v>
      </c>
      <c r="AM28">
        <f t="shared" si="1"/>
        <v>0.13650000000000001</v>
      </c>
      <c r="AN28">
        <f t="shared" si="8"/>
        <v>0.13650000000000001</v>
      </c>
    </row>
    <row r="29" spans="1:40" x14ac:dyDescent="0.25">
      <c r="B29" s="159"/>
      <c r="C29" s="98">
        <v>2</v>
      </c>
      <c r="D29">
        <f t="shared" ref="D29:D30" si="9">AVERAGE(F16:G16)/1000</f>
        <v>44522.334849999992</v>
      </c>
      <c r="E29">
        <f t="shared" si="3"/>
        <v>43694.096849999994</v>
      </c>
      <c r="F29">
        <f t="shared" si="4"/>
        <v>4.232357188610318</v>
      </c>
      <c r="G29">
        <v>241.91666666666669</v>
      </c>
      <c r="H29">
        <f t="shared" si="5"/>
        <v>1.7495103776549711E-2</v>
      </c>
      <c r="J29">
        <f t="shared" si="6"/>
        <v>1.8849999998764961</v>
      </c>
      <c r="X29" s="11" t="s">
        <v>44</v>
      </c>
      <c r="Y29" s="15">
        <v>0.10299999999999999</v>
      </c>
      <c r="Z29" s="16">
        <v>0.111</v>
      </c>
      <c r="AA29" s="16">
        <v>0.38600000000000001</v>
      </c>
      <c r="AB29" s="16">
        <v>0.35699999999999998</v>
      </c>
      <c r="AC29" s="16">
        <v>0.44900000000000001</v>
      </c>
      <c r="AD29" s="16">
        <v>0.42599999999999999</v>
      </c>
      <c r="AE29" s="16">
        <v>0.437</v>
      </c>
      <c r="AF29" s="16">
        <v>0.41099999999999998</v>
      </c>
      <c r="AG29" s="16"/>
      <c r="AH29" s="16"/>
      <c r="AI29" s="16"/>
      <c r="AJ29" s="17"/>
      <c r="AL29">
        <f t="shared" si="7"/>
        <v>62.5</v>
      </c>
      <c r="AM29">
        <f t="shared" si="1"/>
        <v>0.107</v>
      </c>
      <c r="AN29">
        <f t="shared" si="8"/>
        <v>0.107</v>
      </c>
    </row>
    <row r="30" spans="1:40" x14ac:dyDescent="0.25">
      <c r="B30" s="159"/>
      <c r="C30" s="98">
        <v>3</v>
      </c>
      <c r="D30">
        <f t="shared" si="9"/>
        <v>38640.178899999999</v>
      </c>
      <c r="E30">
        <f t="shared" si="3"/>
        <v>37811.940900000001</v>
      </c>
      <c r="F30">
        <f t="shared" si="4"/>
        <v>3.6436411850072563</v>
      </c>
      <c r="G30">
        <v>234.41666666666671</v>
      </c>
      <c r="H30">
        <f t="shared" si="5"/>
        <v>1.5543439111300059E-2</v>
      </c>
      <c r="J30">
        <f t="shared" si="6"/>
        <v>1.6747190012187054</v>
      </c>
      <c r="X30" s="11" t="s">
        <v>45</v>
      </c>
      <c r="Y30" s="15">
        <v>9.2999999999999999E-2</v>
      </c>
      <c r="Z30" s="16">
        <v>9.0999999999999998E-2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L30">
        <f t="shared" si="7"/>
        <v>31.25</v>
      </c>
      <c r="AM30">
        <f t="shared" si="1"/>
        <v>9.1999999999999998E-2</v>
      </c>
      <c r="AN30">
        <f t="shared" si="8"/>
        <v>9.1999999999999998E-2</v>
      </c>
    </row>
    <row r="31" spans="1:40" x14ac:dyDescent="0.25">
      <c r="X31" s="11" t="s">
        <v>46</v>
      </c>
      <c r="Y31" s="18">
        <v>7.3999999999999996E-2</v>
      </c>
      <c r="Z31" s="19">
        <v>7.3999999999999996E-2</v>
      </c>
      <c r="AA31" s="19">
        <v>6.7000000000000004E-2</v>
      </c>
      <c r="AB31" s="19">
        <v>6.6000000000000003E-2</v>
      </c>
      <c r="AC31" s="19"/>
      <c r="AD31" s="19"/>
      <c r="AE31" s="19"/>
      <c r="AF31" s="19"/>
      <c r="AG31" s="19"/>
      <c r="AH31" s="19"/>
      <c r="AI31" s="19"/>
      <c r="AJ31" s="20"/>
      <c r="AL31">
        <f t="shared" si="7"/>
        <v>15.625</v>
      </c>
      <c r="AM31">
        <f>AVERAGE(Y31:Z31)</f>
        <v>7.3999999999999996E-2</v>
      </c>
      <c r="AN31">
        <f t="shared" si="8"/>
        <v>7.3999999999999996E-2</v>
      </c>
    </row>
    <row r="32" spans="1:40" x14ac:dyDescent="0.25">
      <c r="AC32" t="s">
        <v>68</v>
      </c>
      <c r="AL32">
        <v>0</v>
      </c>
      <c r="AM32">
        <f>AVERAGE(AA31:AB31)</f>
        <v>6.6500000000000004E-2</v>
      </c>
      <c r="AN32">
        <f t="shared" si="8"/>
        <v>6.6500000000000004E-2</v>
      </c>
    </row>
    <row r="33" spans="25:32" x14ac:dyDescent="0.25">
      <c r="AA33" s="1" t="s">
        <v>47</v>
      </c>
      <c r="AB33" s="1" t="s">
        <v>48</v>
      </c>
      <c r="AC33" s="1" t="s">
        <v>479</v>
      </c>
      <c r="AD33" s="1" t="s">
        <v>132</v>
      </c>
      <c r="AE33" s="1" t="s">
        <v>442</v>
      </c>
      <c r="AF33" s="1" t="s">
        <v>443</v>
      </c>
    </row>
    <row r="34" spans="25:32" x14ac:dyDescent="0.25">
      <c r="Y34" s="11" t="s">
        <v>13</v>
      </c>
      <c r="Z34" s="11">
        <v>1</v>
      </c>
      <c r="AA34">
        <f>AVERAGE(AA24:AB24)</f>
        <v>0.38900000000000001</v>
      </c>
      <c r="AB34">
        <f>AA34-$AM$32</f>
        <v>0.32250000000000001</v>
      </c>
      <c r="AC34">
        <f>(AB34-0.0237)/0.0003</f>
        <v>996.00000000000011</v>
      </c>
      <c r="AD34">
        <f>AC34*5</f>
        <v>4980.0000000000009</v>
      </c>
      <c r="AE34">
        <f>AD34/1000</f>
        <v>4.9800000000000013</v>
      </c>
      <c r="AF34">
        <f>AE34*50</f>
        <v>249.00000000000006</v>
      </c>
    </row>
    <row r="35" spans="25:32" x14ac:dyDescent="0.25">
      <c r="Y35" s="11"/>
      <c r="Z35" s="11">
        <v>2</v>
      </c>
      <c r="AA35">
        <f t="shared" ref="AA35:AA39" si="10">AVERAGE(AA25:AB25)</f>
        <v>0.39250000000000002</v>
      </c>
      <c r="AB35">
        <f t="shared" ref="AB35:AB39" si="11">AA35-$AM$32</f>
        <v>0.32600000000000001</v>
      </c>
      <c r="AC35">
        <f t="shared" ref="AC35:AC39" si="12">(AB35-0.0237)/0.0003</f>
        <v>1007.6666666666667</v>
      </c>
      <c r="AD35">
        <f t="shared" ref="AD35:AD39" si="13">AC35*5</f>
        <v>5038.3333333333339</v>
      </c>
      <c r="AE35">
        <f t="shared" ref="AE35:AE39" si="14">AD35/1000</f>
        <v>5.038333333333334</v>
      </c>
      <c r="AF35">
        <f t="shared" ref="AF35:AF39" si="15">AE35*50</f>
        <v>251.91666666666669</v>
      </c>
    </row>
    <row r="36" spans="25:32" x14ac:dyDescent="0.25">
      <c r="Y36" s="11"/>
      <c r="Z36" s="11">
        <v>3</v>
      </c>
      <c r="AA36">
        <f t="shared" si="10"/>
        <v>0.442</v>
      </c>
      <c r="AB36">
        <f t="shared" si="11"/>
        <v>0.3755</v>
      </c>
      <c r="AC36">
        <f t="shared" si="12"/>
        <v>1172.6666666666667</v>
      </c>
      <c r="AD36">
        <f t="shared" si="13"/>
        <v>5863.3333333333339</v>
      </c>
      <c r="AE36">
        <f t="shared" si="14"/>
        <v>5.8633333333333342</v>
      </c>
      <c r="AF36">
        <f t="shared" si="15"/>
        <v>293.16666666666669</v>
      </c>
    </row>
    <row r="37" spans="25:32" x14ac:dyDescent="0.25">
      <c r="Y37" s="11" t="s">
        <v>478</v>
      </c>
      <c r="Z37" s="11">
        <v>1</v>
      </c>
      <c r="AA37">
        <f t="shared" si="10"/>
        <v>0.32700000000000001</v>
      </c>
      <c r="AB37">
        <f t="shared" si="11"/>
        <v>0.26050000000000001</v>
      </c>
      <c r="AC37">
        <f t="shared" si="12"/>
        <v>789.33333333333348</v>
      </c>
      <c r="AD37">
        <f t="shared" si="13"/>
        <v>3946.6666666666674</v>
      </c>
      <c r="AE37">
        <f t="shared" si="14"/>
        <v>3.9466666666666672</v>
      </c>
      <c r="AF37">
        <f t="shared" si="15"/>
        <v>197.33333333333337</v>
      </c>
    </row>
    <row r="38" spans="25:32" x14ac:dyDescent="0.25">
      <c r="Y38" s="11"/>
      <c r="Z38" s="11">
        <v>2</v>
      </c>
      <c r="AA38">
        <f t="shared" si="10"/>
        <v>0.3805</v>
      </c>
      <c r="AB38">
        <f t="shared" si="11"/>
        <v>0.314</v>
      </c>
      <c r="AC38">
        <f t="shared" si="12"/>
        <v>967.66666666666674</v>
      </c>
      <c r="AD38">
        <f t="shared" si="13"/>
        <v>4838.3333333333339</v>
      </c>
      <c r="AE38">
        <f t="shared" si="14"/>
        <v>4.8383333333333338</v>
      </c>
      <c r="AF38">
        <f t="shared" si="15"/>
        <v>241.91666666666669</v>
      </c>
    </row>
    <row r="39" spans="25:32" x14ac:dyDescent="0.25">
      <c r="Y39" s="11"/>
      <c r="Z39" s="11">
        <v>3</v>
      </c>
      <c r="AA39">
        <f t="shared" si="10"/>
        <v>0.3715</v>
      </c>
      <c r="AB39">
        <f t="shared" si="11"/>
        <v>0.30499999999999999</v>
      </c>
      <c r="AC39">
        <f t="shared" si="12"/>
        <v>937.66666666666674</v>
      </c>
      <c r="AD39">
        <f t="shared" si="13"/>
        <v>4688.3333333333339</v>
      </c>
      <c r="AE39">
        <f t="shared" si="14"/>
        <v>4.6883333333333344</v>
      </c>
      <c r="AF39">
        <f t="shared" si="15"/>
        <v>234.41666666666671</v>
      </c>
    </row>
  </sheetData>
  <mergeCells count="2">
    <mergeCell ref="B25:B27"/>
    <mergeCell ref="B28:B30"/>
  </mergeCell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5448A-B0E6-4265-83D4-DD4D25733AB6}">
  <dimension ref="B2:L12"/>
  <sheetViews>
    <sheetView topLeftCell="A4" workbookViewId="0">
      <selection activeCell="L37" sqref="L37"/>
    </sheetView>
  </sheetViews>
  <sheetFormatPr defaultRowHeight="15" x14ac:dyDescent="0.25"/>
  <cols>
    <col min="2" max="2" width="15.85546875" customWidth="1"/>
  </cols>
  <sheetData>
    <row r="2" spans="2:12" x14ac:dyDescent="0.25">
      <c r="B2" s="174" t="s">
        <v>480</v>
      </c>
      <c r="C2" s="174"/>
    </row>
    <row r="7" spans="2:12" x14ac:dyDescent="0.25">
      <c r="B7" s="99"/>
      <c r="C7" s="158" t="s">
        <v>13</v>
      </c>
      <c r="D7" s="158"/>
      <c r="E7" s="158"/>
      <c r="F7" s="158"/>
      <c r="G7" s="158"/>
      <c r="H7" s="158" t="s">
        <v>481</v>
      </c>
      <c r="I7" s="158"/>
      <c r="J7" s="158"/>
      <c r="K7" s="158"/>
      <c r="L7" s="158"/>
    </row>
    <row r="8" spans="2:12" x14ac:dyDescent="0.25">
      <c r="B8" s="8" t="s">
        <v>16</v>
      </c>
      <c r="C8" s="6">
        <v>2.090427</v>
      </c>
      <c r="D8" s="6">
        <v>1.350279</v>
      </c>
      <c r="E8" s="6">
        <v>1.1313420000000001</v>
      </c>
      <c r="F8" s="4"/>
      <c r="G8" s="6"/>
      <c r="H8" s="6">
        <v>7.1153424999999997</v>
      </c>
      <c r="I8" s="6">
        <v>4.2341404999999996</v>
      </c>
      <c r="J8" s="6">
        <v>5.5666950000000002</v>
      </c>
      <c r="K8" s="6">
        <v>5.1392116999999997</v>
      </c>
      <c r="L8" s="6">
        <v>5.0324223000000003</v>
      </c>
    </row>
    <row r="9" spans="2:12" x14ac:dyDescent="0.25">
      <c r="B9" s="8" t="s">
        <v>482</v>
      </c>
      <c r="C9" s="6">
        <v>5.0697289999999997</v>
      </c>
      <c r="D9" s="6">
        <v>4.8890000000000002</v>
      </c>
      <c r="E9" s="6">
        <v>5.9706039999999998</v>
      </c>
      <c r="F9" s="4"/>
      <c r="G9" s="6"/>
      <c r="H9" s="6">
        <v>7.0836993660000003</v>
      </c>
      <c r="I9" s="6">
        <v>6.6071887030000003</v>
      </c>
      <c r="J9" s="6">
        <v>7.2253999999999996</v>
      </c>
      <c r="L9" s="6"/>
    </row>
    <row r="10" spans="2:12" x14ac:dyDescent="0.25">
      <c r="B10" s="8" t="s">
        <v>483</v>
      </c>
      <c r="C10" s="6">
        <v>2.0777719979999998</v>
      </c>
      <c r="D10" s="6">
        <v>2.2724400280000001</v>
      </c>
      <c r="E10" s="6">
        <v>1.459665773</v>
      </c>
      <c r="F10" s="6">
        <v>2.7022526340000002</v>
      </c>
      <c r="G10" s="6">
        <v>2.3772819470000002</v>
      </c>
      <c r="H10" s="6">
        <v>8.6424105769999997</v>
      </c>
      <c r="I10" s="6">
        <v>6.647183847</v>
      </c>
      <c r="J10" s="6">
        <v>6.3378660529999999</v>
      </c>
      <c r="K10" s="6"/>
      <c r="L10" s="6"/>
    </row>
    <row r="11" spans="2:12" x14ac:dyDescent="0.25">
      <c r="B11" s="8" t="s">
        <v>484</v>
      </c>
      <c r="C11" s="6">
        <v>1.8463689999999999</v>
      </c>
      <c r="D11" s="6">
        <v>1.926493</v>
      </c>
      <c r="E11" s="6">
        <v>1.458037</v>
      </c>
      <c r="F11" s="6">
        <v>1.390274</v>
      </c>
      <c r="G11" s="6"/>
      <c r="H11" s="6">
        <v>7.1057227699999999</v>
      </c>
      <c r="I11" s="6">
        <v>7.7231517800000002</v>
      </c>
      <c r="J11" s="6">
        <v>6.8156978700000002</v>
      </c>
      <c r="K11" s="6">
        <v>6.0610855099999998</v>
      </c>
      <c r="L11" s="6">
        <v>5.3529095399999997</v>
      </c>
    </row>
    <row r="12" spans="2:12" x14ac:dyDescent="0.25">
      <c r="B12" s="8" t="s">
        <v>485</v>
      </c>
      <c r="C12" s="6">
        <v>3.9468890000000001</v>
      </c>
      <c r="D12" s="6">
        <v>4.046011</v>
      </c>
      <c r="E12" s="6">
        <v>4.0717860000000003</v>
      </c>
      <c r="F12" s="4"/>
      <c r="G12" s="6"/>
      <c r="H12" s="6">
        <v>4.9468779999999999</v>
      </c>
      <c r="I12" s="6">
        <v>5.0565819999999997</v>
      </c>
      <c r="J12" s="6">
        <v>5.0587400000000002</v>
      </c>
      <c r="K12" s="4"/>
      <c r="L12" s="6"/>
    </row>
  </sheetData>
  <mergeCells count="3">
    <mergeCell ref="H7:L7"/>
    <mergeCell ref="B2:C2"/>
    <mergeCell ref="C7:G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5404-126D-45B9-9658-FA9500DC4AFF}">
  <dimension ref="A3:Q9"/>
  <sheetViews>
    <sheetView workbookViewId="0">
      <selection activeCell="K21" sqref="K21"/>
    </sheetView>
  </sheetViews>
  <sheetFormatPr defaultRowHeight="15" x14ac:dyDescent="0.25"/>
  <cols>
    <col min="5" max="5" width="11.5703125" customWidth="1"/>
    <col min="6" max="6" width="11.7109375" customWidth="1"/>
    <col min="7" max="7" width="12.7109375" customWidth="1"/>
    <col min="10" max="10" width="16.5703125" customWidth="1"/>
    <col min="14" max="14" width="13" customWidth="1"/>
    <col min="15" max="15" width="14" customWidth="1"/>
    <col min="16" max="16" width="12.42578125" customWidth="1"/>
  </cols>
  <sheetData>
    <row r="3" spans="1:17" x14ac:dyDescent="0.25">
      <c r="A3" s="4"/>
      <c r="B3" s="7" t="s">
        <v>0</v>
      </c>
      <c r="C3" s="7" t="s">
        <v>1</v>
      </c>
      <c r="D3" s="7" t="s">
        <v>2</v>
      </c>
      <c r="E3" s="7" t="s">
        <v>486</v>
      </c>
      <c r="F3" s="7" t="s">
        <v>487</v>
      </c>
      <c r="G3" s="7" t="s">
        <v>488</v>
      </c>
      <c r="J3" s="4"/>
      <c r="K3" s="7" t="s">
        <v>0</v>
      </c>
      <c r="L3" s="7" t="s">
        <v>1</v>
      </c>
      <c r="M3" s="7" t="s">
        <v>2</v>
      </c>
      <c r="N3" s="7" t="s">
        <v>486</v>
      </c>
      <c r="O3" s="7" t="s">
        <v>487</v>
      </c>
      <c r="P3" s="7" t="s">
        <v>488</v>
      </c>
      <c r="Q3" s="7" t="s">
        <v>6</v>
      </c>
    </row>
    <row r="4" spans="1:17" x14ac:dyDescent="0.25">
      <c r="A4" s="7" t="s">
        <v>24</v>
      </c>
      <c r="B4" s="4">
        <v>155420.07</v>
      </c>
      <c r="C4" s="4">
        <v>149994.87700000001</v>
      </c>
      <c r="D4" s="4">
        <v>140340.63500000001</v>
      </c>
      <c r="E4" s="4">
        <v>137787.128</v>
      </c>
      <c r="F4" s="4">
        <v>131563.31200000001</v>
      </c>
      <c r="G4" s="4">
        <v>143632.12</v>
      </c>
      <c r="J4" s="7" t="s">
        <v>24</v>
      </c>
      <c r="K4" s="4">
        <f>B4/$Q$4</f>
        <v>1.0459997111152273</v>
      </c>
      <c r="L4" s="4">
        <f t="shared" ref="L4:P4" si="0">C4/$Q$4</f>
        <v>1.0094873719382833</v>
      </c>
      <c r="M4" s="4">
        <f t="shared" si="0"/>
        <v>0.9445129169464892</v>
      </c>
      <c r="N4" s="4">
        <f t="shared" si="0"/>
        <v>0.92732744286755775</v>
      </c>
      <c r="O4" s="4">
        <f t="shared" si="0"/>
        <v>0.88544025456533704</v>
      </c>
      <c r="P4" s="4">
        <f t="shared" si="0"/>
        <v>0.96666509046655069</v>
      </c>
      <c r="Q4" s="4">
        <f>AVERAGE(B4:D4)</f>
        <v>148585.19400000002</v>
      </c>
    </row>
    <row r="5" spans="1:17" x14ac:dyDescent="0.25">
      <c r="A5" s="7" t="s">
        <v>489</v>
      </c>
      <c r="B5" s="4">
        <v>123468.16099999999</v>
      </c>
      <c r="C5" s="4">
        <v>137438.23171267463</v>
      </c>
      <c r="D5" s="4">
        <v>125073.79506939588</v>
      </c>
      <c r="E5" s="4">
        <v>134298.1585666631</v>
      </c>
      <c r="F5" s="4">
        <v>129136.90849596253</v>
      </c>
      <c r="G5" s="4">
        <v>146567.09604965031</v>
      </c>
      <c r="J5" s="7" t="s">
        <v>489</v>
      </c>
      <c r="K5" s="4">
        <f>B5/$Q$5</f>
        <v>0.95964636197631792</v>
      </c>
      <c r="L5" s="4">
        <f t="shared" ref="L5:P5" si="1">C5/$Q$5</f>
        <v>1.0682276142391596</v>
      </c>
      <c r="M5" s="4">
        <f t="shared" si="1"/>
        <v>0.97212602378452295</v>
      </c>
      <c r="N5" s="4">
        <f t="shared" si="1"/>
        <v>1.043821647984349</v>
      </c>
      <c r="O5" s="4">
        <f t="shared" si="1"/>
        <v>1.0037062464631601</v>
      </c>
      <c r="P5" s="4">
        <f t="shared" si="1"/>
        <v>1.1391809788879943</v>
      </c>
      <c r="Q5" s="4">
        <f t="shared" ref="Q5:Q6" si="2">AVERAGE(B5:D5)</f>
        <v>128660.06259402349</v>
      </c>
    </row>
    <row r="6" spans="1:17" x14ac:dyDescent="0.25">
      <c r="A6" s="7" t="s">
        <v>490</v>
      </c>
      <c r="B6" s="4">
        <v>67275.127999999997</v>
      </c>
      <c r="C6" s="4">
        <v>56675.148574503291</v>
      </c>
      <c r="D6" s="4">
        <v>42277.47678882577</v>
      </c>
      <c r="E6" s="4">
        <v>103843.68181636391</v>
      </c>
      <c r="F6" s="4">
        <v>106882.17489185816</v>
      </c>
      <c r="G6" s="4">
        <v>124614.46558613598</v>
      </c>
      <c r="J6" s="7" t="s">
        <v>491</v>
      </c>
      <c r="K6" s="4">
        <f>B6/$Q$6</f>
        <v>1.2141497428462751</v>
      </c>
      <c r="L6" s="4">
        <f t="shared" ref="L6:P6" si="3">C6/$Q$6</f>
        <v>1.0228463194824038</v>
      </c>
      <c r="M6" s="4">
        <f t="shared" si="3"/>
        <v>0.76300393767132146</v>
      </c>
      <c r="N6" s="4">
        <f t="shared" si="3"/>
        <v>1.8741217344625292</v>
      </c>
      <c r="O6" s="4">
        <f t="shared" si="3"/>
        <v>1.9289590227134192</v>
      </c>
      <c r="P6" s="4">
        <f t="shared" si="3"/>
        <v>2.2489830319807491</v>
      </c>
      <c r="Q6" s="4">
        <f t="shared" si="2"/>
        <v>55409.251121109679</v>
      </c>
    </row>
    <row r="8" spans="1:17" x14ac:dyDescent="0.25">
      <c r="J8" s="7" t="s">
        <v>492</v>
      </c>
      <c r="K8" s="4">
        <f t="shared" ref="K8:P8" si="4">K5/K4</f>
        <v>0.91744419408410649</v>
      </c>
      <c r="L8" s="4">
        <f t="shared" si="4"/>
        <v>1.0581881893065102</v>
      </c>
      <c r="M8" s="4">
        <f t="shared" si="4"/>
        <v>1.0292352876732529</v>
      </c>
      <c r="N8" s="4">
        <f t="shared" si="4"/>
        <v>1.1256235928450022</v>
      </c>
      <c r="O8" s="4">
        <f t="shared" si="4"/>
        <v>1.1335674443171548</v>
      </c>
      <c r="P8" s="4">
        <f t="shared" si="4"/>
        <v>1.178465003156554</v>
      </c>
    </row>
    <row r="9" spans="1:17" x14ac:dyDescent="0.25">
      <c r="J9" s="7" t="s">
        <v>493</v>
      </c>
      <c r="K9" s="4">
        <f t="shared" ref="K9:P9" si="5">K6/K4</f>
        <v>1.1607553328592883</v>
      </c>
      <c r="L9" s="4">
        <f t="shared" si="5"/>
        <v>1.0132333973811583</v>
      </c>
      <c r="M9" s="4">
        <f t="shared" si="5"/>
        <v>0.80782795447417788</v>
      </c>
      <c r="N9" s="4">
        <f t="shared" si="5"/>
        <v>2.0209924216921875</v>
      </c>
      <c r="O9" s="4">
        <f t="shared" si="5"/>
        <v>2.1785309768419618</v>
      </c>
      <c r="P9" s="4">
        <f t="shared" si="5"/>
        <v>2.3265379645553366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D0300-B63F-404E-B663-CCCB1D96CE99}">
  <dimension ref="B2:Q5"/>
  <sheetViews>
    <sheetView workbookViewId="0">
      <selection activeCell="Q30" sqref="Q30"/>
    </sheetView>
  </sheetViews>
  <sheetFormatPr defaultRowHeight="15" x14ac:dyDescent="0.25"/>
  <cols>
    <col min="2" max="2" width="12" customWidth="1"/>
  </cols>
  <sheetData>
    <row r="2" spans="2:17" s="1" customFormat="1" x14ac:dyDescent="0.25">
      <c r="B2" s="5"/>
      <c r="C2" s="158" t="s">
        <v>16</v>
      </c>
      <c r="D2" s="158"/>
      <c r="E2" s="158"/>
      <c r="F2" s="158"/>
      <c r="G2" s="158"/>
      <c r="H2" s="158" t="s">
        <v>11</v>
      </c>
      <c r="I2" s="158"/>
      <c r="J2" s="158"/>
      <c r="K2" s="158"/>
      <c r="L2" s="158"/>
      <c r="M2" s="158" t="s">
        <v>97</v>
      </c>
      <c r="N2" s="158"/>
      <c r="O2" s="158"/>
      <c r="P2" s="158"/>
      <c r="Q2" s="158"/>
    </row>
    <row r="3" spans="2:17" x14ac:dyDescent="0.25">
      <c r="B3" s="8" t="s">
        <v>13</v>
      </c>
      <c r="C3" s="6">
        <v>1.2647090000000001</v>
      </c>
      <c r="D3" s="6">
        <v>0.80689900000000003</v>
      </c>
      <c r="E3" s="6">
        <v>0.76718900000000001</v>
      </c>
      <c r="F3" s="6">
        <v>1.1141570000000001</v>
      </c>
      <c r="G3" s="6">
        <v>1.0470459999999999</v>
      </c>
      <c r="H3" s="6">
        <v>2.5704020000000001</v>
      </c>
      <c r="I3" s="6">
        <v>1.5739479999999999</v>
      </c>
      <c r="J3" s="6">
        <v>2.540476</v>
      </c>
      <c r="K3" s="6">
        <v>2.7256879999999999</v>
      </c>
      <c r="L3" s="6">
        <v>2.6222919999999998</v>
      </c>
      <c r="M3" s="6">
        <v>2.3067899999999999</v>
      </c>
      <c r="N3" s="6">
        <v>2.0844339999999999</v>
      </c>
      <c r="O3" s="6">
        <v>2.5655049999999999</v>
      </c>
      <c r="P3" s="6">
        <v>2.324948</v>
      </c>
      <c r="Q3" s="6">
        <v>3.075053</v>
      </c>
    </row>
    <row r="4" spans="2:17" x14ac:dyDescent="0.25">
      <c r="B4" s="9" t="s">
        <v>494</v>
      </c>
      <c r="C4" s="6">
        <v>0.73264099999999999</v>
      </c>
      <c r="D4" s="6">
        <v>1.027045</v>
      </c>
      <c r="E4" s="6">
        <v>0.69419500000000001</v>
      </c>
      <c r="F4" s="6">
        <v>0.65039899999999995</v>
      </c>
      <c r="G4" s="6"/>
      <c r="H4" s="6">
        <v>3.5998839999999999</v>
      </c>
      <c r="I4" s="6">
        <v>3.2058110000000002</v>
      </c>
      <c r="J4" s="6">
        <v>3.3440590000000001</v>
      </c>
      <c r="K4" s="6"/>
      <c r="L4" s="6"/>
      <c r="M4" s="6">
        <v>2.6420569999999999</v>
      </c>
      <c r="N4" s="6">
        <v>3.3330799999999998</v>
      </c>
      <c r="O4" s="6">
        <v>2.8687900000000002</v>
      </c>
      <c r="P4" s="6"/>
      <c r="Q4" s="6"/>
    </row>
    <row r="5" spans="2:17" x14ac:dyDescent="0.25">
      <c r="B5" s="9" t="s">
        <v>495</v>
      </c>
      <c r="C5" s="6">
        <v>0.97589800000000004</v>
      </c>
      <c r="D5" s="6"/>
      <c r="E5" s="6">
        <v>1.1648940000000001</v>
      </c>
      <c r="F5" s="6">
        <v>1.2050540000000001</v>
      </c>
      <c r="G5" s="6">
        <v>1.2017450000000001</v>
      </c>
      <c r="H5" s="6">
        <v>3.1047090000000002</v>
      </c>
      <c r="I5" s="6">
        <v>3.697149</v>
      </c>
      <c r="J5" s="6">
        <v>3.4979269999999998</v>
      </c>
      <c r="K5" s="6">
        <v>2.676984</v>
      </c>
      <c r="L5" s="6"/>
      <c r="M5" s="6">
        <v>2.0364879999999999</v>
      </c>
      <c r="N5" s="6">
        <v>2.4588420000000002</v>
      </c>
      <c r="O5" s="6">
        <v>3.1402160000000001</v>
      </c>
      <c r="P5" s="6">
        <v>3.1000019999999999</v>
      </c>
      <c r="Q5" s="6"/>
    </row>
  </sheetData>
  <mergeCells count="3">
    <mergeCell ref="C2:G2"/>
    <mergeCell ref="H2:L2"/>
    <mergeCell ref="M2:Q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CFF43-6A9C-4E2C-AC98-E0CCE955A3A7}">
  <dimension ref="B5:R8"/>
  <sheetViews>
    <sheetView workbookViewId="0">
      <selection activeCell="D35" sqref="D35"/>
    </sheetView>
  </sheetViews>
  <sheetFormatPr defaultRowHeight="15" x14ac:dyDescent="0.25"/>
  <cols>
    <col min="6" max="6" width="12.140625" customWidth="1"/>
    <col min="7" max="7" width="12" customWidth="1"/>
    <col min="8" max="8" width="12.85546875" customWidth="1"/>
    <col min="11" max="11" width="14.5703125" customWidth="1"/>
    <col min="15" max="15" width="12.28515625" customWidth="1"/>
    <col min="16" max="17" width="12.140625" customWidth="1"/>
  </cols>
  <sheetData>
    <row r="5" spans="2:18" x14ac:dyDescent="0.25">
      <c r="B5" s="4"/>
      <c r="C5" s="7" t="s">
        <v>18</v>
      </c>
      <c r="D5" s="7" t="s">
        <v>19</v>
      </c>
      <c r="E5" s="7" t="s">
        <v>20</v>
      </c>
      <c r="F5" s="7" t="s">
        <v>496</v>
      </c>
      <c r="G5" s="7" t="s">
        <v>497</v>
      </c>
      <c r="H5" s="7" t="s">
        <v>498</v>
      </c>
      <c r="K5" s="4"/>
      <c r="L5" s="7" t="s">
        <v>18</v>
      </c>
      <c r="M5" s="7" t="s">
        <v>19</v>
      </c>
      <c r="N5" s="7" t="s">
        <v>20</v>
      </c>
      <c r="O5" s="7" t="s">
        <v>496</v>
      </c>
      <c r="P5" s="7" t="s">
        <v>497</v>
      </c>
      <c r="Q5" s="7" t="s">
        <v>498</v>
      </c>
      <c r="R5" s="7" t="s">
        <v>6</v>
      </c>
    </row>
    <row r="6" spans="2:18" x14ac:dyDescent="0.25">
      <c r="B6" s="7" t="s">
        <v>24</v>
      </c>
      <c r="C6" s="4">
        <v>65561.48</v>
      </c>
      <c r="D6" s="4">
        <v>63546.843999999997</v>
      </c>
      <c r="E6" s="4">
        <v>65755.793999999994</v>
      </c>
      <c r="F6" s="4">
        <v>68930.087</v>
      </c>
      <c r="G6" s="4">
        <v>60998.966</v>
      </c>
      <c r="H6" s="4">
        <v>64776.843999999997</v>
      </c>
      <c r="K6" s="7" t="s">
        <v>24</v>
      </c>
      <c r="L6" s="4">
        <f>C6/$R$6</f>
        <v>1.0093414940558734</v>
      </c>
      <c r="M6" s="4">
        <f t="shared" ref="M6:Q6" si="0">D6/$R$6</f>
        <v>0.9783254811437373</v>
      </c>
      <c r="N6" s="4">
        <f t="shared" si="0"/>
        <v>1.0123330248003892</v>
      </c>
      <c r="O6" s="4">
        <f t="shared" si="0"/>
        <v>1.0612023553766836</v>
      </c>
      <c r="P6" s="4">
        <f t="shared" si="0"/>
        <v>0.93910002456173081</v>
      </c>
      <c r="Q6" s="4">
        <f t="shared" si="0"/>
        <v>0.99726175344400758</v>
      </c>
      <c r="R6" s="4">
        <f>AVERAGE(C6:E6)</f>
        <v>64954.705999999998</v>
      </c>
    </row>
    <row r="7" spans="2:18" x14ac:dyDescent="0.25">
      <c r="B7" s="7" t="s">
        <v>499</v>
      </c>
      <c r="C7" s="4">
        <v>62883.722999999998</v>
      </c>
      <c r="D7" s="4">
        <v>61692.550999999999</v>
      </c>
      <c r="E7" s="4">
        <v>63066.186999999998</v>
      </c>
      <c r="F7" s="4">
        <v>38476.309000000001</v>
      </c>
      <c r="G7" s="4">
        <v>38197.065999999999</v>
      </c>
      <c r="H7" s="4">
        <v>34747.016000000003</v>
      </c>
      <c r="K7" s="7" t="s">
        <v>499</v>
      </c>
      <c r="L7" s="4">
        <f>C7/$R$7</f>
        <v>1.0053756915925334</v>
      </c>
      <c r="M7" s="4">
        <f t="shared" ref="M7:Q7" si="1">D7/$R$7</f>
        <v>0.98633140928587582</v>
      </c>
      <c r="N7" s="4">
        <f t="shared" si="1"/>
        <v>1.0082928991215905</v>
      </c>
      <c r="O7" s="4">
        <f t="shared" si="1"/>
        <v>0.61515355524994952</v>
      </c>
      <c r="P7" s="4">
        <f t="shared" si="1"/>
        <v>0.61068905933822726</v>
      </c>
      <c r="Q7" s="4">
        <f t="shared" si="1"/>
        <v>0.55553016862212234</v>
      </c>
      <c r="R7" s="4">
        <f>AVERAGE(C7:E7)</f>
        <v>62547.487000000001</v>
      </c>
    </row>
    <row r="8" spans="2:18" x14ac:dyDescent="0.25">
      <c r="K8" s="7" t="s">
        <v>500</v>
      </c>
      <c r="L8" s="4">
        <f t="shared" ref="L8:Q8" si="2">L7/L6</f>
        <v>0.9960709011898401</v>
      </c>
      <c r="M8" s="4">
        <f t="shared" si="2"/>
        <v>1.0081832971709772</v>
      </c>
      <c r="N8" s="4">
        <f t="shared" si="2"/>
        <v>0.99600909426066053</v>
      </c>
      <c r="O8" s="4">
        <f t="shared" si="2"/>
        <v>0.57967601761644705</v>
      </c>
      <c r="P8" s="4">
        <f t="shared" si="2"/>
        <v>0.65029181489291321</v>
      </c>
      <c r="Q8" s="4">
        <f t="shared" si="2"/>
        <v>0.55705552399219049</v>
      </c>
      <c r="R8" s="4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4F57-DE98-42D9-8DBE-5D8F4341112B}">
  <dimension ref="B5:R8"/>
  <sheetViews>
    <sheetView workbookViewId="0">
      <selection activeCell="F36" sqref="F36"/>
    </sheetView>
  </sheetViews>
  <sheetFormatPr defaultRowHeight="15" x14ac:dyDescent="0.25"/>
  <cols>
    <col min="6" max="6" width="11" customWidth="1"/>
    <col min="7" max="7" width="10.7109375" customWidth="1"/>
    <col min="8" max="8" width="11.28515625" customWidth="1"/>
    <col min="11" max="11" width="15.5703125" customWidth="1"/>
    <col min="15" max="15" width="11.140625" customWidth="1"/>
    <col min="16" max="17" width="11.42578125" customWidth="1"/>
  </cols>
  <sheetData>
    <row r="5" spans="2:18" x14ac:dyDescent="0.25">
      <c r="B5" s="4"/>
      <c r="C5" s="7" t="s">
        <v>18</v>
      </c>
      <c r="D5" s="7" t="s">
        <v>19</v>
      </c>
      <c r="E5" s="7" t="s">
        <v>20</v>
      </c>
      <c r="F5" s="7" t="s">
        <v>501</v>
      </c>
      <c r="G5" s="7" t="s">
        <v>502</v>
      </c>
      <c r="H5" s="7" t="s">
        <v>503</v>
      </c>
      <c r="K5" s="4"/>
      <c r="L5" s="7" t="s">
        <v>18</v>
      </c>
      <c r="M5" s="7" t="s">
        <v>19</v>
      </c>
      <c r="N5" s="7" t="s">
        <v>20</v>
      </c>
      <c r="O5" s="7" t="s">
        <v>501</v>
      </c>
      <c r="P5" s="7" t="s">
        <v>502</v>
      </c>
      <c r="Q5" s="7" t="s">
        <v>503</v>
      </c>
      <c r="R5" s="7" t="s">
        <v>6</v>
      </c>
    </row>
    <row r="6" spans="2:18" x14ac:dyDescent="0.25">
      <c r="B6" s="7" t="s">
        <v>265</v>
      </c>
      <c r="C6">
        <v>173074.89799999999</v>
      </c>
      <c r="D6">
        <v>183896.777</v>
      </c>
      <c r="E6">
        <v>190659.36199999999</v>
      </c>
      <c r="F6">
        <v>165412.342</v>
      </c>
      <c r="G6">
        <v>175764.87700000001</v>
      </c>
      <c r="H6">
        <v>145331.31200000001</v>
      </c>
      <c r="K6" s="7" t="s">
        <v>265</v>
      </c>
      <c r="L6" s="4">
        <f>C6/$R$6</f>
        <v>0.94812868321778476</v>
      </c>
      <c r="M6" s="4">
        <f t="shared" ref="M6:Q6" si="0">D6/$R$6</f>
        <v>1.0074124615402322</v>
      </c>
      <c r="N6" s="4">
        <f t="shared" si="0"/>
        <v>1.0444588552419829</v>
      </c>
      <c r="O6" s="4">
        <f t="shared" si="0"/>
        <v>0.90615212154237346</v>
      </c>
      <c r="P6" s="4">
        <f t="shared" si="0"/>
        <v>0.96286476728673798</v>
      </c>
      <c r="Q6" s="4">
        <f t="shared" si="0"/>
        <v>0.79614540912150678</v>
      </c>
      <c r="R6" s="4">
        <f>AVERAGE(C6:E6)</f>
        <v>182543.679</v>
      </c>
    </row>
    <row r="7" spans="2:18" x14ac:dyDescent="0.25">
      <c r="B7" s="7" t="s">
        <v>504</v>
      </c>
      <c r="C7" s="4">
        <v>97922.869000000006</v>
      </c>
      <c r="D7" s="4">
        <v>90960.554999999993</v>
      </c>
      <c r="E7" s="4">
        <v>113028.898</v>
      </c>
      <c r="F7" s="4">
        <v>22765.685000000001</v>
      </c>
      <c r="G7" s="4">
        <v>30807.321</v>
      </c>
      <c r="H7" s="4">
        <v>7970.5010000000002</v>
      </c>
      <c r="K7" s="7" t="s">
        <v>504</v>
      </c>
      <c r="L7" s="4">
        <f>C7/$R$7</f>
        <v>0.97302622514360326</v>
      </c>
      <c r="M7" s="4">
        <f t="shared" ref="M7:Q7" si="1">D7/$R$7</f>
        <v>0.90384408026910534</v>
      </c>
      <c r="N7" s="4">
        <f t="shared" si="1"/>
        <v>1.1231296945872915</v>
      </c>
      <c r="O7" s="4">
        <f t="shared" si="1"/>
        <v>0.22621486445988781</v>
      </c>
      <c r="P7" s="4">
        <f t="shared" si="1"/>
        <v>0.30612186474455988</v>
      </c>
      <c r="Q7" s="4">
        <f t="shared" si="1"/>
        <v>7.920015599760781E-2</v>
      </c>
      <c r="R7" s="4">
        <f>AVERAGE(C7:E7)</f>
        <v>100637.44066666666</v>
      </c>
    </row>
    <row r="8" spans="2:18" x14ac:dyDescent="0.25">
      <c r="K8" s="7" t="s">
        <v>591</v>
      </c>
      <c r="L8" s="4">
        <f>L7/L6</f>
        <v>1.0262596653455527</v>
      </c>
      <c r="M8" s="4">
        <f t="shared" ref="M8:Q8" si="2">M7/M6</f>
        <v>0.89719366672040046</v>
      </c>
      <c r="N8" s="4">
        <f t="shared" si="2"/>
        <v>1.0753221047918464</v>
      </c>
      <c r="O8" s="4">
        <f t="shared" si="2"/>
        <v>0.2496433645984788</v>
      </c>
      <c r="P8" s="4">
        <f t="shared" si="2"/>
        <v>0.31792820253168302</v>
      </c>
      <c r="Q8" s="4">
        <f t="shared" si="2"/>
        <v>9.9479511016712249E-2</v>
      </c>
      <c r="R8" s="4"/>
    </row>
  </sheetData>
  <phoneticPr fontId="2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2578-1175-4745-99C1-B56613EFFD98}">
  <dimension ref="B5:R8"/>
  <sheetViews>
    <sheetView workbookViewId="0">
      <selection activeCell="H36" sqref="H36"/>
    </sheetView>
  </sheetViews>
  <sheetFormatPr defaultRowHeight="15" x14ac:dyDescent="0.25"/>
  <cols>
    <col min="2" max="2" width="14.7109375" customWidth="1"/>
  </cols>
  <sheetData>
    <row r="5" spans="2:18" x14ac:dyDescent="0.25">
      <c r="B5" s="131"/>
      <c r="C5" s="158" t="s">
        <v>16</v>
      </c>
      <c r="D5" s="158"/>
      <c r="E5" s="158"/>
      <c r="F5" s="158"/>
      <c r="G5" s="158"/>
      <c r="H5" s="158" t="s">
        <v>11</v>
      </c>
      <c r="I5" s="158"/>
      <c r="J5" s="158"/>
      <c r="K5" s="158"/>
      <c r="L5" s="158"/>
      <c r="M5" s="158"/>
      <c r="N5" s="158" t="s">
        <v>505</v>
      </c>
      <c r="O5" s="158"/>
      <c r="P5" s="158"/>
      <c r="Q5" s="158"/>
      <c r="R5" s="158"/>
    </row>
    <row r="6" spans="2:18" x14ac:dyDescent="0.25">
      <c r="B6" s="132" t="s">
        <v>13</v>
      </c>
      <c r="C6" s="123">
        <v>0.78535699999999997</v>
      </c>
      <c r="D6" s="123">
        <v>0.74191300000000004</v>
      </c>
      <c r="E6" s="123">
        <v>0.82525899999999996</v>
      </c>
      <c r="F6" s="123">
        <v>1.6474709999999999</v>
      </c>
      <c r="G6" s="4"/>
      <c r="H6" s="123">
        <v>6.4993420000000004</v>
      </c>
      <c r="I6" s="123">
        <v>4.9053370000000003</v>
      </c>
      <c r="J6" s="123">
        <v>4.7819880000000001</v>
      </c>
      <c r="K6" s="123">
        <v>4.2871160000000001</v>
      </c>
      <c r="L6" s="4"/>
      <c r="M6" s="4"/>
      <c r="N6" s="123">
        <v>4.4262069999999998</v>
      </c>
      <c r="O6" s="123">
        <v>2.6926839999999999</v>
      </c>
      <c r="P6" s="123">
        <v>2.677041</v>
      </c>
      <c r="Q6" s="123">
        <v>4.0758760000000001</v>
      </c>
      <c r="R6" s="4"/>
    </row>
    <row r="7" spans="2:18" s="3" customFormat="1" x14ac:dyDescent="0.25">
      <c r="B7" s="133" t="s">
        <v>506</v>
      </c>
      <c r="C7" s="131">
        <v>0.72765899999999994</v>
      </c>
      <c r="D7" s="131">
        <v>1.662425</v>
      </c>
      <c r="E7" s="131">
        <v>0.86811300000000002</v>
      </c>
      <c r="F7" s="131">
        <v>0.74180299999999999</v>
      </c>
      <c r="G7" s="21"/>
      <c r="H7" s="131">
        <v>4.5619829999999997</v>
      </c>
      <c r="I7" s="131">
        <v>4.9105530000000002</v>
      </c>
      <c r="J7" s="131">
        <v>4.3507160000000002</v>
      </c>
      <c r="K7" s="131">
        <v>4.0044000000000004</v>
      </c>
      <c r="L7" s="21"/>
      <c r="M7" s="21"/>
      <c r="N7" s="131">
        <v>4.8862139999999998</v>
      </c>
      <c r="O7" s="131">
        <v>4.1778329999999997</v>
      </c>
      <c r="P7" s="131">
        <v>3.718515</v>
      </c>
      <c r="Q7" s="131">
        <v>3.876754</v>
      </c>
      <c r="R7" s="21"/>
    </row>
    <row r="8" spans="2:18" x14ac:dyDescent="0.25">
      <c r="B8" s="132" t="s">
        <v>507</v>
      </c>
      <c r="C8" s="123">
        <v>0.58173699999999995</v>
      </c>
      <c r="D8" s="123">
        <v>1.3389990000000001</v>
      </c>
      <c r="E8" s="123">
        <v>1.51088</v>
      </c>
      <c r="F8" s="123">
        <v>0.887324</v>
      </c>
      <c r="G8" s="123">
        <v>0.68105899999999997</v>
      </c>
      <c r="H8" s="123">
        <v>6.4600720000000003</v>
      </c>
      <c r="I8" s="123">
        <v>4.2815960000000004</v>
      </c>
      <c r="J8" s="123">
        <v>2.5668859999999998</v>
      </c>
      <c r="K8" s="123">
        <v>3.973433</v>
      </c>
      <c r="L8" s="123">
        <v>2.7503769999999998</v>
      </c>
      <c r="M8" s="123">
        <v>4.4558359999999997</v>
      </c>
      <c r="N8" s="123">
        <v>2.818133</v>
      </c>
      <c r="O8" s="123">
        <v>4.3786139999999998</v>
      </c>
      <c r="P8" s="123">
        <v>4.431406</v>
      </c>
      <c r="Q8" s="123">
        <v>2.3179180000000001</v>
      </c>
      <c r="R8" s="123">
        <v>6.686261</v>
      </c>
    </row>
  </sheetData>
  <mergeCells count="3">
    <mergeCell ref="C5:G5"/>
    <mergeCell ref="H5:M5"/>
    <mergeCell ref="N5:R5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B72F-7D0B-436E-A0A6-58DDCDC96473}">
  <dimension ref="B5:R8"/>
  <sheetViews>
    <sheetView workbookViewId="0">
      <selection activeCell="I35" sqref="I35"/>
    </sheetView>
  </sheetViews>
  <sheetFormatPr defaultRowHeight="15" x14ac:dyDescent="0.25"/>
  <cols>
    <col min="6" max="6" width="11.140625" customWidth="1"/>
    <col min="7" max="7" width="11.7109375" customWidth="1"/>
    <col min="8" max="8" width="14.85546875" customWidth="1"/>
    <col min="11" max="11" width="15.85546875" customWidth="1"/>
  </cols>
  <sheetData>
    <row r="5" spans="2:18" x14ac:dyDescent="0.25">
      <c r="B5" s="4"/>
      <c r="C5" s="7" t="s">
        <v>18</v>
      </c>
      <c r="D5" s="7" t="s">
        <v>19</v>
      </c>
      <c r="E5" s="7" t="s">
        <v>20</v>
      </c>
      <c r="F5" s="7" t="s">
        <v>508</v>
      </c>
      <c r="G5" s="7" t="s">
        <v>509</v>
      </c>
      <c r="H5" s="7" t="s">
        <v>510</v>
      </c>
      <c r="K5" s="4"/>
      <c r="L5" s="7" t="s">
        <v>18</v>
      </c>
      <c r="M5" s="7" t="s">
        <v>19</v>
      </c>
      <c r="N5" s="7" t="s">
        <v>20</v>
      </c>
      <c r="O5" s="7" t="s">
        <v>496</v>
      </c>
      <c r="P5" s="7" t="s">
        <v>497</v>
      </c>
      <c r="Q5" s="7" t="s">
        <v>498</v>
      </c>
      <c r="R5" s="7" t="s">
        <v>6</v>
      </c>
    </row>
    <row r="6" spans="2:18" x14ac:dyDescent="0.25">
      <c r="B6" s="7" t="s">
        <v>265</v>
      </c>
      <c r="C6" s="4">
        <v>44634.387999999999</v>
      </c>
      <c r="D6" s="4">
        <v>50062.338000000003</v>
      </c>
      <c r="E6" s="4">
        <v>45145.923999999999</v>
      </c>
      <c r="F6" s="4">
        <v>42244.338000000003</v>
      </c>
      <c r="G6" s="4">
        <v>43120.701999999997</v>
      </c>
      <c r="H6" s="4">
        <v>40210.167000000001</v>
      </c>
      <c r="K6" s="7" t="s">
        <v>265</v>
      </c>
      <c r="L6" s="4">
        <f>C6/$R$6</f>
        <v>0.95752736379066039</v>
      </c>
      <c r="M6" s="4">
        <f t="shared" ref="M6:Q6" si="0">D6/$R$6</f>
        <v>1.0739714529151156</v>
      </c>
      <c r="N6" s="4">
        <f t="shared" si="0"/>
        <v>0.96850118329422386</v>
      </c>
      <c r="O6" s="4">
        <f t="shared" si="0"/>
        <v>0.90625437947578946</v>
      </c>
      <c r="P6" s="4">
        <f t="shared" si="0"/>
        <v>0.92505473830766216</v>
      </c>
      <c r="Q6" s="4">
        <f t="shared" si="0"/>
        <v>0.86261595443164163</v>
      </c>
      <c r="R6" s="4">
        <f>AVERAGE(C6:E6)</f>
        <v>46614.216666666667</v>
      </c>
    </row>
    <row r="7" spans="2:18" x14ac:dyDescent="0.25">
      <c r="B7" s="7" t="s">
        <v>511</v>
      </c>
      <c r="C7" s="4">
        <v>35676.146000000001</v>
      </c>
      <c r="D7" s="4">
        <v>40625.332124356406</v>
      </c>
      <c r="E7" s="4">
        <v>40642.461265789832</v>
      </c>
      <c r="F7" s="4">
        <v>23953.47959571005</v>
      </c>
      <c r="G7" s="4">
        <v>20728.486721422247</v>
      </c>
      <c r="H7" s="4">
        <v>19752.310693808624</v>
      </c>
      <c r="K7" s="7" t="s">
        <v>511</v>
      </c>
      <c r="L7" s="4">
        <f>C7/$R$7</f>
        <v>0.91521149841663607</v>
      </c>
      <c r="M7" s="4">
        <f t="shared" ref="M7:Q7" si="1">D7/$R$7</f>
        <v>1.0421745411403387</v>
      </c>
      <c r="N7" s="4">
        <f t="shared" si="1"/>
        <v>1.0426139604430256</v>
      </c>
      <c r="O7" s="4">
        <f t="shared" si="1"/>
        <v>0.61448621589008279</v>
      </c>
      <c r="P7" s="4">
        <f t="shared" si="1"/>
        <v>0.53175444994036625</v>
      </c>
      <c r="Q7" s="4">
        <f t="shared" si="1"/>
        <v>0.50671229642550331</v>
      </c>
      <c r="R7" s="4">
        <f>AVERAGE(C7:E7)</f>
        <v>38981.313130048744</v>
      </c>
    </row>
    <row r="8" spans="2:18" x14ac:dyDescent="0.25">
      <c r="K8" s="7" t="s">
        <v>512</v>
      </c>
      <c r="L8" s="4">
        <f>L7/L6</f>
        <v>0.95580714768661623</v>
      </c>
      <c r="M8" s="4">
        <f t="shared" ref="M8:Q8" si="2">M7/M6</f>
        <v>0.97039314994037362</v>
      </c>
      <c r="N8" s="4">
        <f t="shared" si="2"/>
        <v>1.0765231663390615</v>
      </c>
      <c r="O8" s="4">
        <f t="shared" si="2"/>
        <v>0.67805047876902291</v>
      </c>
      <c r="P8" s="4">
        <f t="shared" si="2"/>
        <v>0.57483565882077681</v>
      </c>
      <c r="Q8" s="4">
        <f t="shared" si="2"/>
        <v>0.58741354576424998</v>
      </c>
      <c r="R8" s="4"/>
    </row>
  </sheetData>
  <phoneticPr fontId="2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5D21-C04E-49A8-BCCA-AC4E8B5227EC}">
  <dimension ref="B3:Z17"/>
  <sheetViews>
    <sheetView topLeftCell="G1" workbookViewId="0">
      <selection activeCell="R36" sqref="R36"/>
    </sheetView>
  </sheetViews>
  <sheetFormatPr defaultRowHeight="15" x14ac:dyDescent="0.25"/>
  <cols>
    <col min="2" max="2" width="12.28515625" customWidth="1"/>
    <col min="16" max="16" width="21.140625" customWidth="1"/>
  </cols>
  <sheetData>
    <row r="3" spans="2:26" x14ac:dyDescent="0.25">
      <c r="B3" s="4"/>
      <c r="C3" s="157" t="s">
        <v>513</v>
      </c>
      <c r="D3" s="157"/>
      <c r="E3" s="157"/>
      <c r="F3" s="157" t="s">
        <v>514</v>
      </c>
      <c r="G3" s="157"/>
      <c r="H3" s="157"/>
      <c r="I3" s="157" t="s">
        <v>515</v>
      </c>
      <c r="J3" s="157"/>
      <c r="K3" s="157"/>
      <c r="Q3" s="157" t="s">
        <v>513</v>
      </c>
      <c r="R3" s="157"/>
      <c r="S3" s="157"/>
      <c r="T3" s="157" t="s">
        <v>514</v>
      </c>
      <c r="U3" s="157"/>
      <c r="V3" s="157"/>
      <c r="W3" s="157" t="s">
        <v>515</v>
      </c>
      <c r="X3" s="157"/>
      <c r="Y3" s="157"/>
      <c r="Z3" s="7" t="s">
        <v>6</v>
      </c>
    </row>
    <row r="4" spans="2:26" x14ac:dyDescent="0.25">
      <c r="B4" s="7" t="s">
        <v>516</v>
      </c>
      <c r="C4" s="4">
        <v>111322.966</v>
      </c>
      <c r="D4" s="4">
        <v>116235.86500000001</v>
      </c>
      <c r="E4" s="4">
        <v>101001.55100000001</v>
      </c>
      <c r="F4" s="4">
        <v>95793.278999999995</v>
      </c>
      <c r="G4" s="4">
        <v>92143.48</v>
      </c>
      <c r="H4" s="4">
        <v>94254.722999999998</v>
      </c>
      <c r="I4" s="4">
        <v>90078.087</v>
      </c>
      <c r="J4" s="4">
        <v>89751.894</v>
      </c>
      <c r="K4" s="4">
        <v>91179.137000000002</v>
      </c>
      <c r="P4" s="7" t="s">
        <v>516</v>
      </c>
      <c r="Q4" s="4">
        <f t="shared" ref="Q4:Y4" si="0">C4/$Z$4</f>
        <v>1.0164612542969347</v>
      </c>
      <c r="R4" s="4">
        <f t="shared" si="0"/>
        <v>1.0613196663497915</v>
      </c>
      <c r="S4" s="4">
        <f t="shared" si="0"/>
        <v>0.92221907935327407</v>
      </c>
      <c r="T4" s="4">
        <f t="shared" si="0"/>
        <v>0.87466369271508826</v>
      </c>
      <c r="U4" s="4">
        <f t="shared" si="0"/>
        <v>0.84133832057694657</v>
      </c>
      <c r="V4" s="4">
        <f t="shared" si="0"/>
        <v>0.86061553519864131</v>
      </c>
      <c r="W4" s="4">
        <f t="shared" si="0"/>
        <v>0.82247975046486288</v>
      </c>
      <c r="X4" s="4">
        <f t="shared" si="0"/>
        <v>0.81950136641854776</v>
      </c>
      <c r="Y4" s="4">
        <f t="shared" si="0"/>
        <v>0.83253315367767022</v>
      </c>
      <c r="Z4" s="4">
        <f>AVERAGE(C4:E4)</f>
        <v>109520.12733333332</v>
      </c>
    </row>
    <row r="5" spans="2:26" x14ac:dyDescent="0.25">
      <c r="B5" s="7" t="s">
        <v>264</v>
      </c>
      <c r="C5" s="4">
        <v>82961.229000000007</v>
      </c>
      <c r="D5" s="4">
        <v>100182.986</v>
      </c>
      <c r="E5" s="4">
        <v>93511.744000000006</v>
      </c>
      <c r="F5" s="4">
        <v>87781.692999999999</v>
      </c>
      <c r="G5" s="4">
        <v>76609.986000000004</v>
      </c>
      <c r="H5" s="4">
        <v>79686.692999999999</v>
      </c>
      <c r="I5" s="4">
        <v>83226.764999999999</v>
      </c>
      <c r="J5" s="4">
        <v>84329.815000000002</v>
      </c>
      <c r="K5" s="4">
        <v>82772.451000000001</v>
      </c>
      <c r="P5" s="7" t="s">
        <v>264</v>
      </c>
      <c r="Q5" s="4">
        <f t="shared" ref="Q5:Y5" si="1">C5/$Z$5</f>
        <v>0.89961440881163168</v>
      </c>
      <c r="R5" s="4">
        <f t="shared" si="1"/>
        <v>1.086363579828042</v>
      </c>
      <c r="S5" s="4">
        <f t="shared" si="1"/>
        <v>1.0140220113603264</v>
      </c>
      <c r="T5" s="4">
        <f t="shared" si="1"/>
        <v>0.95188652343468949</v>
      </c>
      <c r="U5" s="4">
        <f t="shared" si="1"/>
        <v>0.83074284331609138</v>
      </c>
      <c r="V5" s="4">
        <f t="shared" si="1"/>
        <v>0.86410601768386264</v>
      </c>
      <c r="W5" s="4">
        <f t="shared" si="1"/>
        <v>0.90249382627612218</v>
      </c>
      <c r="X5" s="4">
        <f t="shared" si="1"/>
        <v>0.91445507233769718</v>
      </c>
      <c r="Y5" s="4">
        <f t="shared" si="1"/>
        <v>0.89756733922366005</v>
      </c>
      <c r="Z5" s="4">
        <f>AVERAGE(C5:E5)</f>
        <v>92218.653000000006</v>
      </c>
    </row>
    <row r="6" spans="2:26" x14ac:dyDescent="0.25">
      <c r="P6" s="7" t="s">
        <v>517</v>
      </c>
      <c r="Q6" s="4">
        <f t="shared" ref="Q6:Y6" si="2">Q5/Q4</f>
        <v>0.88504545058520356</v>
      </c>
      <c r="R6" s="4">
        <f t="shared" si="2"/>
        <v>1.0235969560089133</v>
      </c>
      <c r="S6" s="4">
        <f t="shared" si="2"/>
        <v>1.0995456872042066</v>
      </c>
      <c r="T6" s="4">
        <f t="shared" si="2"/>
        <v>1.0882885975064198</v>
      </c>
      <c r="U6" s="4">
        <f t="shared" si="2"/>
        <v>0.9874064012042274</v>
      </c>
      <c r="V6" s="4">
        <f t="shared" si="2"/>
        <v>1.0040557976732498</v>
      </c>
      <c r="W6" s="4">
        <f t="shared" si="2"/>
        <v>1.0972839462199959</v>
      </c>
      <c r="X6" s="4">
        <f t="shared" si="2"/>
        <v>1.1158676602750817</v>
      </c>
      <c r="Y6" s="4">
        <f t="shared" si="2"/>
        <v>1.0781160308856228</v>
      </c>
      <c r="Z6" s="4"/>
    </row>
    <row r="10" spans="2:26" x14ac:dyDescent="0.25">
      <c r="B10" s="4"/>
      <c r="C10" s="157" t="s">
        <v>513</v>
      </c>
      <c r="D10" s="157"/>
      <c r="E10" s="157"/>
      <c r="F10" s="157" t="s">
        <v>514</v>
      </c>
      <c r="G10" s="157"/>
      <c r="H10" s="157"/>
      <c r="I10" s="157" t="s">
        <v>515</v>
      </c>
      <c r="J10" s="157"/>
      <c r="K10" s="157"/>
      <c r="P10" s="4"/>
      <c r="Q10" s="157" t="s">
        <v>513</v>
      </c>
      <c r="R10" s="157"/>
      <c r="S10" s="157"/>
      <c r="T10" s="157" t="s">
        <v>514</v>
      </c>
      <c r="U10" s="157"/>
      <c r="V10" s="157"/>
      <c r="W10" s="157" t="s">
        <v>515</v>
      </c>
      <c r="X10" s="157"/>
      <c r="Y10" s="157"/>
      <c r="Z10" s="7" t="s">
        <v>6</v>
      </c>
    </row>
    <row r="11" spans="2:26" x14ac:dyDescent="0.25">
      <c r="B11" s="7" t="s">
        <v>518</v>
      </c>
      <c r="C11" s="4">
        <v>97420.157999999996</v>
      </c>
      <c r="D11" s="4">
        <v>100308.016</v>
      </c>
      <c r="E11" s="4">
        <v>104773.137</v>
      </c>
      <c r="F11" s="4">
        <v>103655.48</v>
      </c>
      <c r="G11" s="4">
        <v>89576.43</v>
      </c>
      <c r="H11" s="4">
        <v>96711.137000000002</v>
      </c>
      <c r="I11" s="4">
        <v>107695.38</v>
      </c>
      <c r="J11" s="4">
        <v>117383.30899999999</v>
      </c>
      <c r="K11" s="4">
        <v>123845.86500000001</v>
      </c>
      <c r="P11" s="7" t="s">
        <v>516</v>
      </c>
      <c r="Q11" s="4">
        <f t="shared" ref="Q11:Y11" si="3">C11/$Z$11</f>
        <v>0.9661461401071415</v>
      </c>
      <c r="R11" s="4">
        <f t="shared" si="3"/>
        <v>0.99478593003519256</v>
      </c>
      <c r="S11" s="4">
        <f t="shared" si="3"/>
        <v>1.0390679298576659</v>
      </c>
      <c r="T11" s="4">
        <f t="shared" si="3"/>
        <v>1.0279837762422126</v>
      </c>
      <c r="U11" s="4">
        <f t="shared" si="3"/>
        <v>0.88835743921784183</v>
      </c>
      <c r="V11" s="4">
        <f t="shared" si="3"/>
        <v>0.95911455735806717</v>
      </c>
      <c r="W11" s="4">
        <f t="shared" si="3"/>
        <v>1.0680487265722958</v>
      </c>
      <c r="X11" s="4">
        <f t="shared" si="3"/>
        <v>1.1641269448911578</v>
      </c>
      <c r="Y11" s="4">
        <f t="shared" si="3"/>
        <v>1.2282181315901801</v>
      </c>
      <c r="Z11" s="4">
        <f>AVERAGE(C11:E11)</f>
        <v>100833.77033333333</v>
      </c>
    </row>
    <row r="12" spans="2:26" x14ac:dyDescent="0.25">
      <c r="B12" s="7" t="s">
        <v>267</v>
      </c>
      <c r="C12" s="4">
        <v>53915.622000000003</v>
      </c>
      <c r="D12" s="4">
        <v>76640.157999999996</v>
      </c>
      <c r="E12" s="4">
        <v>80037.328999999998</v>
      </c>
      <c r="F12" s="4">
        <v>88211.815000000002</v>
      </c>
      <c r="G12" s="4">
        <v>88704.744000000006</v>
      </c>
      <c r="H12" s="4">
        <v>93855.107999999993</v>
      </c>
      <c r="I12" s="4">
        <v>104667.10799999999</v>
      </c>
      <c r="J12" s="4">
        <v>110057.35</v>
      </c>
      <c r="K12" s="4">
        <v>110508.501</v>
      </c>
      <c r="P12" s="7" t="s">
        <v>267</v>
      </c>
      <c r="Q12" s="4">
        <f t="shared" ref="Q12:Y12" si="4">C12/$Z$12</f>
        <v>0.7680539347562414</v>
      </c>
      <c r="R12" s="4">
        <f t="shared" si="4"/>
        <v>1.0917758662274177</v>
      </c>
      <c r="S12" s="4">
        <f t="shared" si="4"/>
        <v>1.1401701990163411</v>
      </c>
      <c r="T12" s="4">
        <f t="shared" si="4"/>
        <v>1.2566196788518851</v>
      </c>
      <c r="U12" s="4">
        <f t="shared" si="4"/>
        <v>1.2636416892444473</v>
      </c>
      <c r="V12" s="4">
        <f t="shared" si="4"/>
        <v>1.3370110984970549</v>
      </c>
      <c r="W12" s="4">
        <f t="shared" si="4"/>
        <v>1.4910332322412316</v>
      </c>
      <c r="X12" s="4">
        <f t="shared" si="4"/>
        <v>1.5678198188336734</v>
      </c>
      <c r="Y12" s="4">
        <f t="shared" si="4"/>
        <v>1.5742466815474008</v>
      </c>
      <c r="Z12" s="4">
        <f>AVERAGE(C12:E12)</f>
        <v>70197.702999999994</v>
      </c>
    </row>
    <row r="13" spans="2:26" x14ac:dyDescent="0.25">
      <c r="P13" s="7" t="s">
        <v>519</v>
      </c>
      <c r="Q13" s="4">
        <f t="shared" ref="Q13:Y13" si="5">Q12/Q11</f>
        <v>0.79496662344587687</v>
      </c>
      <c r="R13" s="4">
        <f t="shared" si="5"/>
        <v>1.0974982991454192</v>
      </c>
      <c r="S13" s="4">
        <f t="shared" si="5"/>
        <v>1.0973009235041298</v>
      </c>
      <c r="T13" s="4">
        <f t="shared" si="5"/>
        <v>1.2224119756495082</v>
      </c>
      <c r="U13" s="4">
        <f t="shared" si="5"/>
        <v>1.4224473544759484</v>
      </c>
      <c r="V13" s="4">
        <f t="shared" si="5"/>
        <v>1.3940056359689965</v>
      </c>
      <c r="W13" s="4">
        <f t="shared" si="5"/>
        <v>1.3960348391841879</v>
      </c>
      <c r="X13" s="4">
        <f t="shared" si="5"/>
        <v>1.3467773645427128</v>
      </c>
      <c r="Y13" s="4">
        <f t="shared" si="5"/>
        <v>1.2817321622741522</v>
      </c>
      <c r="Z13" s="4"/>
    </row>
    <row r="17" spans="16:25" x14ac:dyDescent="0.25">
      <c r="P17" s="7" t="s">
        <v>520</v>
      </c>
      <c r="Q17" s="4">
        <f t="shared" ref="Q17:Y17" si="6">Q12/Q5</f>
        <v>0.85375904079929266</v>
      </c>
      <c r="R17" s="4">
        <f t="shared" si="6"/>
        <v>1.0049820212126703</v>
      </c>
      <c r="S17" s="4">
        <f t="shared" si="6"/>
        <v>1.1244037962122586</v>
      </c>
      <c r="T17" s="4">
        <f t="shared" si="6"/>
        <v>1.3201360119246439</v>
      </c>
      <c r="U17" s="4">
        <f t="shared" si="6"/>
        <v>1.5210984956552207</v>
      </c>
      <c r="V17" s="4">
        <f t="shared" si="6"/>
        <v>1.5472766895904282</v>
      </c>
      <c r="W17" s="4">
        <f t="shared" si="6"/>
        <v>1.6521256864365996</v>
      </c>
      <c r="X17" s="4">
        <f t="shared" si="6"/>
        <v>1.7144853435234668</v>
      </c>
      <c r="Y17" s="4">
        <f t="shared" si="6"/>
        <v>1.7539037047727541</v>
      </c>
    </row>
  </sheetData>
  <mergeCells count="12">
    <mergeCell ref="W3:Y3"/>
    <mergeCell ref="C3:E3"/>
    <mergeCell ref="F3:H3"/>
    <mergeCell ref="I3:K3"/>
    <mergeCell ref="Q3:S3"/>
    <mergeCell ref="T3:V3"/>
    <mergeCell ref="Q10:S10"/>
    <mergeCell ref="T10:V10"/>
    <mergeCell ref="W10:Y10"/>
    <mergeCell ref="C10:E10"/>
    <mergeCell ref="F10:H10"/>
    <mergeCell ref="I10:K10"/>
  </mergeCells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FE0AF-DF17-4F34-B5EE-9BE2DE3D08CB}">
  <dimension ref="B5:R8"/>
  <sheetViews>
    <sheetView workbookViewId="0">
      <selection activeCell="O35" sqref="O35"/>
    </sheetView>
  </sheetViews>
  <sheetFormatPr defaultRowHeight="15" x14ac:dyDescent="0.25"/>
  <cols>
    <col min="2" max="2" width="12.28515625" customWidth="1"/>
  </cols>
  <sheetData>
    <row r="5" spans="2:18" x14ac:dyDescent="0.25">
      <c r="B5" s="5"/>
      <c r="C5" s="158" t="s">
        <v>16</v>
      </c>
      <c r="D5" s="158"/>
      <c r="E5" s="158"/>
      <c r="F5" s="158"/>
      <c r="G5" s="158" t="s">
        <v>113</v>
      </c>
      <c r="H5" s="158"/>
      <c r="I5" s="158"/>
      <c r="J5" s="158"/>
      <c r="K5" s="158"/>
      <c r="L5" s="158"/>
      <c r="M5" s="158" t="s">
        <v>10</v>
      </c>
      <c r="N5" s="158"/>
      <c r="O5" s="158"/>
      <c r="P5" s="158"/>
      <c r="Q5" s="158"/>
      <c r="R5" s="130"/>
    </row>
    <row r="6" spans="2:18" x14ac:dyDescent="0.25">
      <c r="B6" s="8" t="s">
        <v>13</v>
      </c>
      <c r="C6" s="6">
        <v>0.89217199999999997</v>
      </c>
      <c r="D6" s="6">
        <v>0.99035200000000001</v>
      </c>
      <c r="E6" s="6">
        <v>0.96162899999999996</v>
      </c>
      <c r="F6" s="6">
        <v>1.1558470000000001</v>
      </c>
      <c r="G6" s="6">
        <v>9.4807302230000001</v>
      </c>
      <c r="H6" s="6">
        <v>9.8845614039999994</v>
      </c>
      <c r="I6" s="6"/>
      <c r="J6" s="6">
        <v>7.7421013959999998</v>
      </c>
      <c r="K6" s="6">
        <v>3.9210128499999999</v>
      </c>
      <c r="L6" s="6">
        <v>7.3302971159999997</v>
      </c>
      <c r="M6" s="6"/>
      <c r="N6" s="6">
        <v>7.027217651</v>
      </c>
      <c r="O6" s="6">
        <v>7.2939221270000001</v>
      </c>
      <c r="P6" s="6">
        <v>3.5918252690000001</v>
      </c>
      <c r="Q6" s="6"/>
      <c r="R6" s="134"/>
    </row>
    <row r="7" spans="2:18" x14ac:dyDescent="0.25">
      <c r="B7" s="8" t="s">
        <v>521</v>
      </c>
      <c r="C7" s="6">
        <v>0.88099700000000003</v>
      </c>
      <c r="D7" s="6">
        <v>1.160406</v>
      </c>
      <c r="E7" s="6">
        <v>1.0546690000000001</v>
      </c>
      <c r="F7" s="6">
        <v>0.90392799999999995</v>
      </c>
      <c r="G7" s="6">
        <v>0.77939899999999995</v>
      </c>
      <c r="H7" s="6">
        <v>0.76524800000000004</v>
      </c>
      <c r="I7" s="6">
        <v>0.89057399999999998</v>
      </c>
      <c r="J7" s="6">
        <v>0.722908</v>
      </c>
      <c r="K7" s="6"/>
      <c r="L7" s="6"/>
      <c r="M7" s="6">
        <v>0.95650800000000002</v>
      </c>
      <c r="N7" s="6">
        <v>1.0960890000000001</v>
      </c>
      <c r="O7" s="6">
        <v>0.71368600000000004</v>
      </c>
      <c r="P7" s="6">
        <v>0.87264299999999995</v>
      </c>
      <c r="Q7" s="6"/>
      <c r="R7" s="134"/>
    </row>
    <row r="8" spans="2:18" x14ac:dyDescent="0.25">
      <c r="B8" s="8" t="s">
        <v>522</v>
      </c>
      <c r="C8" s="6">
        <v>1.2305980000000001</v>
      </c>
      <c r="D8" s="6">
        <v>1.0436529999999999</v>
      </c>
      <c r="E8" s="6">
        <v>0.85162199999999999</v>
      </c>
      <c r="F8" s="6">
        <v>0.87412800000000002</v>
      </c>
      <c r="G8" s="6">
        <v>0.7923</v>
      </c>
      <c r="H8" s="6">
        <v>0.62202000000000002</v>
      </c>
      <c r="I8" s="6">
        <v>0.71482000000000001</v>
      </c>
      <c r="J8" s="6">
        <v>0.56631100000000001</v>
      </c>
      <c r="K8" s="6"/>
      <c r="L8" s="6"/>
      <c r="M8" s="6">
        <v>0.75252799999999997</v>
      </c>
      <c r="N8" s="6">
        <v>0.72956900000000002</v>
      </c>
      <c r="O8" s="6">
        <v>0.68353299999999995</v>
      </c>
      <c r="P8" s="6">
        <v>0.63436400000000004</v>
      </c>
      <c r="Q8" s="6">
        <v>0.61155199999999998</v>
      </c>
      <c r="R8" s="134"/>
    </row>
  </sheetData>
  <mergeCells count="3">
    <mergeCell ref="C5:F5"/>
    <mergeCell ref="G5:L5"/>
    <mergeCell ref="M5:Q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D571A-AB0E-4C42-892B-AD8D39B0826B}">
  <dimension ref="B3:K151"/>
  <sheetViews>
    <sheetView topLeftCell="A79" workbookViewId="0">
      <selection activeCell="I67" sqref="I67"/>
    </sheetView>
  </sheetViews>
  <sheetFormatPr defaultRowHeight="15" x14ac:dyDescent="0.25"/>
  <cols>
    <col min="2" max="2" width="18.5703125" customWidth="1"/>
    <col min="3" max="3" width="11.42578125" customWidth="1"/>
    <col min="4" max="4" width="12.7109375" customWidth="1"/>
    <col min="6" max="6" width="13.85546875" customWidth="1"/>
    <col min="7" max="7" width="17.85546875" customWidth="1"/>
    <col min="8" max="8" width="13.28515625" customWidth="1"/>
    <col min="9" max="9" width="21" customWidth="1"/>
    <col min="13" max="13" width="9.140625" customWidth="1"/>
    <col min="15" max="15" width="12.7109375" customWidth="1"/>
  </cols>
  <sheetData>
    <row r="3" spans="2:9" x14ac:dyDescent="0.25">
      <c r="C3" s="138" t="s">
        <v>523</v>
      </c>
      <c r="D3" s="138" t="s">
        <v>524</v>
      </c>
      <c r="E3" s="138" t="s">
        <v>525</v>
      </c>
      <c r="F3" s="138" t="s">
        <v>526</v>
      </c>
      <c r="G3" s="130" t="s">
        <v>527</v>
      </c>
      <c r="H3" s="138" t="s">
        <v>6</v>
      </c>
      <c r="I3" s="138" t="s">
        <v>528</v>
      </c>
    </row>
    <row r="4" spans="2:9" x14ac:dyDescent="0.25">
      <c r="B4" s="130" t="s">
        <v>0</v>
      </c>
      <c r="C4" s="139">
        <v>17.470565795898438</v>
      </c>
      <c r="D4" s="139">
        <v>28.049932292245</v>
      </c>
      <c r="E4" s="140">
        <f>D4-C4</f>
        <v>10.579366496346562</v>
      </c>
      <c r="F4" s="140">
        <f>E4-$E$23</f>
        <v>-0.39619167178492809</v>
      </c>
      <c r="G4" s="143">
        <f>2^(-F4)</f>
        <v>1.3160293568078374</v>
      </c>
      <c r="H4" s="144">
        <f>AVERAGE(G4:G6)</f>
        <v>0.97179766612197771</v>
      </c>
      <c r="I4" s="145">
        <f>G4/$H$16</f>
        <v>1.3106718851199619</v>
      </c>
    </row>
    <row r="5" spans="2:9" x14ac:dyDescent="0.25">
      <c r="B5" s="130" t="s">
        <v>1</v>
      </c>
      <c r="C5" s="139">
        <v>17.030208587646484</v>
      </c>
      <c r="D5" s="139">
        <v>28.426624149523999</v>
      </c>
      <c r="E5" s="140">
        <f t="shared" ref="E5:E9" si="0">D5-C5</f>
        <v>11.396415561877514</v>
      </c>
      <c r="F5" s="140">
        <f t="shared" ref="F5:F9" si="1">E5-$E$23</f>
        <v>0.42085739374602404</v>
      </c>
      <c r="G5" s="143">
        <f t="shared" ref="G5:G9" si="2">2^(-F5)</f>
        <v>0.74698056178638506</v>
      </c>
      <c r="I5" s="145">
        <f t="shared" ref="I5:I9" si="3">G5/$H$16</f>
        <v>0.74393965149782504</v>
      </c>
    </row>
    <row r="6" spans="2:9" x14ac:dyDescent="0.25">
      <c r="B6" s="130" t="s">
        <v>2</v>
      </c>
      <c r="C6" s="139">
        <v>16.617288589477539</v>
      </c>
      <c r="D6" s="27">
        <v>27.823272897306001</v>
      </c>
      <c r="E6" s="140">
        <f t="shared" si="0"/>
        <v>11.205984307828462</v>
      </c>
      <c r="F6" s="140">
        <f t="shared" si="1"/>
        <v>0.23042613969697179</v>
      </c>
      <c r="G6" s="143">
        <f t="shared" si="2"/>
        <v>0.85238307977171079</v>
      </c>
      <c r="I6" s="145">
        <f t="shared" si="3"/>
        <v>0.84891308254598186</v>
      </c>
    </row>
    <row r="7" spans="2:9" x14ac:dyDescent="0.25">
      <c r="B7" s="130" t="s">
        <v>3</v>
      </c>
      <c r="C7" s="139">
        <v>17.189615249633789</v>
      </c>
      <c r="D7" s="27">
        <v>14.461880693102</v>
      </c>
      <c r="E7" s="140">
        <f t="shared" si="0"/>
        <v>-2.7277345565317894</v>
      </c>
      <c r="F7" s="140">
        <f t="shared" si="1"/>
        <v>-13.70329272466328</v>
      </c>
      <c r="G7" s="143">
        <f t="shared" si="2"/>
        <v>13338.351238122796</v>
      </c>
      <c r="I7" s="146">
        <f t="shared" si="3"/>
        <v>13284.051659810564</v>
      </c>
    </row>
    <row r="8" spans="2:9" x14ac:dyDescent="0.25">
      <c r="B8" s="130" t="s">
        <v>4</v>
      </c>
      <c r="C8" s="139">
        <v>17.306974411010742</v>
      </c>
      <c r="D8" s="27">
        <v>14.701250505721999</v>
      </c>
      <c r="E8" s="140">
        <f t="shared" si="0"/>
        <v>-2.6057239052887429</v>
      </c>
      <c r="F8" s="140">
        <f t="shared" si="1"/>
        <v>-13.581282073420233</v>
      </c>
      <c r="G8" s="143">
        <f t="shared" si="2"/>
        <v>12256.692307068426</v>
      </c>
      <c r="I8" s="146">
        <f t="shared" si="3"/>
        <v>12206.79609336891</v>
      </c>
    </row>
    <row r="9" spans="2:9" x14ac:dyDescent="0.25">
      <c r="B9" s="130" t="s">
        <v>5</v>
      </c>
      <c r="C9" s="139">
        <v>17.584314346313477</v>
      </c>
      <c r="D9" s="27">
        <v>14.917021054404</v>
      </c>
      <c r="E9" s="140">
        <f t="shared" si="0"/>
        <v>-2.6672932919094769</v>
      </c>
      <c r="F9" s="140">
        <f t="shared" si="1"/>
        <v>-13.642851460040967</v>
      </c>
      <c r="G9" s="143">
        <f t="shared" si="2"/>
        <v>12791.088855882632</v>
      </c>
      <c r="I9" s="146">
        <f t="shared" si="3"/>
        <v>12739.017147870956</v>
      </c>
    </row>
    <row r="11" spans="2:9" x14ac:dyDescent="0.25">
      <c r="D11" s="1" t="s">
        <v>6</v>
      </c>
      <c r="E11" s="139">
        <f>AVERAGE(E4:E6)</f>
        <v>11.06058878868418</v>
      </c>
    </row>
    <row r="15" spans="2:9" x14ac:dyDescent="0.25">
      <c r="C15" s="138" t="s">
        <v>523</v>
      </c>
      <c r="D15" s="138" t="s">
        <v>529</v>
      </c>
      <c r="E15" s="138" t="s">
        <v>525</v>
      </c>
      <c r="F15" s="138" t="s">
        <v>526</v>
      </c>
      <c r="G15" s="130" t="s">
        <v>527</v>
      </c>
      <c r="H15" s="138" t="s">
        <v>6</v>
      </c>
      <c r="I15" s="138" t="s">
        <v>528</v>
      </c>
    </row>
    <row r="16" spans="2:9" x14ac:dyDescent="0.25">
      <c r="B16" s="130" t="s">
        <v>0</v>
      </c>
      <c r="C16" s="139">
        <v>16.8260985577393</v>
      </c>
      <c r="D16" s="139">
        <v>27.964839935302699</v>
      </c>
      <c r="E16" s="140">
        <f>D16-C16</f>
        <v>11.138741377563399</v>
      </c>
      <c r="F16" s="140">
        <f>E16-$E$23</f>
        <v>0.16318320943190834</v>
      </c>
      <c r="G16" s="143">
        <f>2^(-F16)</f>
        <v>0.89305243543925616</v>
      </c>
      <c r="H16" s="144">
        <f>AVERAGE(G16:G18)</f>
        <v>1.004087576569467</v>
      </c>
      <c r="I16" s="146">
        <f>G16/$H$16</f>
        <v>0.88941687585701446</v>
      </c>
    </row>
    <row r="17" spans="2:11" x14ac:dyDescent="0.25">
      <c r="B17" s="130" t="s">
        <v>1</v>
      </c>
      <c r="C17" s="139">
        <v>17.0294674468994</v>
      </c>
      <c r="D17" s="139">
        <v>27.998174667358398</v>
      </c>
      <c r="E17" s="140">
        <f t="shared" ref="E17:E21" si="4">D17-C17</f>
        <v>10.968707220458999</v>
      </c>
      <c r="F17" s="140">
        <f t="shared" ref="F17:F21" si="5">E17-$E$23</f>
        <v>-6.8509476724916141E-3</v>
      </c>
      <c r="G17" s="143">
        <f t="shared" ref="G17:G21" si="6">2^(-F17)</f>
        <v>1.0047600080794235</v>
      </c>
      <c r="I17" s="146">
        <f t="shared" ref="I17:I21" si="7">G17/$H$16</f>
        <v>1.0006696940841096</v>
      </c>
    </row>
    <row r="18" spans="2:11" x14ac:dyDescent="0.25">
      <c r="B18" s="130" t="s">
        <v>2</v>
      </c>
      <c r="C18" s="139">
        <v>17.50477409362793</v>
      </c>
      <c r="D18">
        <v>28.324000000000002</v>
      </c>
      <c r="E18" s="140">
        <f t="shared" si="4"/>
        <v>10.819225906372072</v>
      </c>
      <c r="F18" s="140">
        <f t="shared" si="5"/>
        <v>-0.1563322617594185</v>
      </c>
      <c r="G18" s="143">
        <f t="shared" si="6"/>
        <v>1.1144502861897216</v>
      </c>
      <c r="I18" s="146">
        <f t="shared" si="7"/>
        <v>1.1099134300588762</v>
      </c>
    </row>
    <row r="19" spans="2:11" x14ac:dyDescent="0.25">
      <c r="B19" s="130" t="s">
        <v>530</v>
      </c>
      <c r="C19" s="139">
        <v>17.475196838378906</v>
      </c>
      <c r="D19">
        <v>29.797999999999998</v>
      </c>
      <c r="E19" s="140">
        <f t="shared" si="4"/>
        <v>12.322803161621092</v>
      </c>
      <c r="F19" s="140">
        <f t="shared" si="5"/>
        <v>1.3472449934896016</v>
      </c>
      <c r="G19" s="143">
        <f t="shared" si="6"/>
        <v>0.39304189538530804</v>
      </c>
      <c r="I19" s="146">
        <f t="shared" si="7"/>
        <v>0.39144184686375882</v>
      </c>
    </row>
    <row r="20" spans="2:11" x14ac:dyDescent="0.25">
      <c r="B20" s="130" t="s">
        <v>531</v>
      </c>
      <c r="C20" s="139">
        <v>18.002517700195313</v>
      </c>
      <c r="D20">
        <v>30.71</v>
      </c>
      <c r="E20" s="140">
        <f t="shared" si="4"/>
        <v>12.707482299804688</v>
      </c>
      <c r="F20" s="140">
        <f t="shared" si="5"/>
        <v>1.7319241316731979</v>
      </c>
      <c r="G20" s="143">
        <f t="shared" si="6"/>
        <v>0.30105017649322485</v>
      </c>
      <c r="I20" s="146">
        <f t="shared" si="7"/>
        <v>0.29982462039992874</v>
      </c>
    </row>
    <row r="21" spans="2:11" x14ac:dyDescent="0.25">
      <c r="B21" s="130" t="s">
        <v>532</v>
      </c>
      <c r="C21" s="139">
        <v>17.979726791381836</v>
      </c>
      <c r="D21">
        <v>30.951000000000001</v>
      </c>
      <c r="E21" s="140">
        <f t="shared" si="4"/>
        <v>12.971273208618165</v>
      </c>
      <c r="F21" s="140">
        <f t="shared" si="5"/>
        <v>1.9957150404866741</v>
      </c>
      <c r="G21" s="143">
        <f t="shared" si="6"/>
        <v>0.25074363068628353</v>
      </c>
      <c r="I21" s="146">
        <f t="shared" si="7"/>
        <v>0.24972286933672266</v>
      </c>
    </row>
    <row r="23" spans="2:11" x14ac:dyDescent="0.25">
      <c r="D23" s="1" t="s">
        <v>6</v>
      </c>
      <c r="E23" s="139">
        <f>AVERAGE(E16:E18)</f>
        <v>10.97555816813149</v>
      </c>
    </row>
    <row r="28" spans="2:11" x14ac:dyDescent="0.25">
      <c r="E28" s="137"/>
      <c r="F28" s="137"/>
      <c r="G28" s="137"/>
      <c r="H28" s="137"/>
      <c r="I28" s="137"/>
      <c r="J28" s="137"/>
      <c r="K28" s="137"/>
    </row>
    <row r="29" spans="2:11" x14ac:dyDescent="0.25">
      <c r="C29" s="138" t="s">
        <v>523</v>
      </c>
      <c r="D29" s="138" t="s">
        <v>533</v>
      </c>
      <c r="E29" s="138" t="s">
        <v>525</v>
      </c>
      <c r="F29" s="138" t="s">
        <v>526</v>
      </c>
      <c r="G29" s="130" t="s">
        <v>527</v>
      </c>
      <c r="H29" s="138" t="s">
        <v>6</v>
      </c>
      <c r="I29" s="138" t="s">
        <v>528</v>
      </c>
    </row>
    <row r="30" spans="2:11" x14ac:dyDescent="0.25">
      <c r="B30" s="130" t="s">
        <v>0</v>
      </c>
      <c r="C30" s="139">
        <v>17.470565795898438</v>
      </c>
      <c r="D30" s="139">
        <v>37</v>
      </c>
      <c r="E30" s="140">
        <f>D30-C30</f>
        <v>19.529434204101563</v>
      </c>
      <c r="F30" s="140">
        <f t="shared" ref="F30:F35" si="8">E30-$E$37</f>
        <v>-0.17756207784016809</v>
      </c>
      <c r="G30" s="143">
        <f>2^(-F30)</f>
        <v>1.1309711106651472</v>
      </c>
      <c r="H30" s="140">
        <f>AVERAGE(G30:G32)</f>
        <v>1.0084339215955729</v>
      </c>
      <c r="I30" s="140">
        <f>G30/$H$30</f>
        <v>1.1215123633244035</v>
      </c>
    </row>
    <row r="31" spans="2:11" x14ac:dyDescent="0.25">
      <c r="B31" s="130" t="s">
        <v>1</v>
      </c>
      <c r="C31" s="139">
        <v>17.030208587646484</v>
      </c>
      <c r="D31" s="139">
        <v>37</v>
      </c>
      <c r="E31" s="140">
        <f t="shared" ref="E31:E32" si="9">D31-C31</f>
        <v>19.969791412353516</v>
      </c>
      <c r="F31" s="140">
        <f t="shared" si="8"/>
        <v>0.26279513041178504</v>
      </c>
      <c r="G31" s="143">
        <f t="shared" ref="G31" si="10">2^(-F31)</f>
        <v>0.83347155569877152</v>
      </c>
      <c r="I31" s="140">
        <f t="shared" ref="I31:I35" si="11">G31/$H$30</f>
        <v>0.82650091180989738</v>
      </c>
    </row>
    <row r="32" spans="2:11" x14ac:dyDescent="0.25">
      <c r="B32" s="130" t="s">
        <v>2</v>
      </c>
      <c r="C32" s="139">
        <v>16.617288589477539</v>
      </c>
      <c r="D32" s="139">
        <v>36.239051818847656</v>
      </c>
      <c r="E32" s="140">
        <f t="shared" si="9"/>
        <v>19.621763229370117</v>
      </c>
      <c r="F32" s="140">
        <f t="shared" si="8"/>
        <v>-8.5233052571613399E-2</v>
      </c>
      <c r="G32" s="143">
        <f>2^(-F32)</f>
        <v>1.0608590984227999</v>
      </c>
      <c r="I32" s="140">
        <f t="shared" si="11"/>
        <v>1.0519867248656991</v>
      </c>
    </row>
    <row r="33" spans="2:9" x14ac:dyDescent="0.25">
      <c r="B33" s="130" t="s">
        <v>534</v>
      </c>
      <c r="C33" s="139">
        <v>17.584314346313477</v>
      </c>
      <c r="D33" s="139">
        <v>39.827610015869141</v>
      </c>
      <c r="E33" s="140">
        <f>D33-C33</f>
        <v>22.243295669555664</v>
      </c>
      <c r="F33" s="140">
        <f t="shared" si="8"/>
        <v>2.5362993876139335</v>
      </c>
      <c r="G33" s="143">
        <f t="shared" ref="G33:G35" si="12">2^(-F33)</f>
        <v>0.17238433837348902</v>
      </c>
      <c r="I33" s="140">
        <f t="shared" si="11"/>
        <v>0.17094262170468999</v>
      </c>
    </row>
    <row r="34" spans="2:9" x14ac:dyDescent="0.25">
      <c r="B34" s="130" t="s">
        <v>535</v>
      </c>
      <c r="C34" s="139">
        <v>17.546350479125977</v>
      </c>
      <c r="D34" s="139">
        <v>39.827610015869141</v>
      </c>
      <c r="E34" s="140">
        <f>D34-C34</f>
        <v>22.281259536743164</v>
      </c>
      <c r="F34" s="140">
        <f t="shared" si="8"/>
        <v>2.5742632548014335</v>
      </c>
      <c r="G34" s="143">
        <f t="shared" si="12"/>
        <v>0.16790728665107515</v>
      </c>
      <c r="I34" s="140">
        <f t="shared" si="11"/>
        <v>0.16650301329154762</v>
      </c>
    </row>
    <row r="35" spans="2:9" x14ac:dyDescent="0.25">
      <c r="B35" s="130" t="s">
        <v>536</v>
      </c>
      <c r="C35" s="139">
        <v>17.312681198120117</v>
      </c>
      <c r="D35" s="139">
        <v>39.827610015869141</v>
      </c>
      <c r="E35" s="140">
        <f>D35-C35</f>
        <v>22.514928817749023</v>
      </c>
      <c r="F35" s="140">
        <f t="shared" si="8"/>
        <v>2.8079325358072929</v>
      </c>
      <c r="G35" s="143">
        <f t="shared" si="12"/>
        <v>0.14279995839940871</v>
      </c>
      <c r="I35" s="140">
        <f t="shared" si="11"/>
        <v>0.14160566730387902</v>
      </c>
    </row>
    <row r="37" spans="2:9" x14ac:dyDescent="0.25">
      <c r="D37" s="1" t="s">
        <v>6</v>
      </c>
      <c r="E37" s="139">
        <f>AVERAGE(E30:E32)</f>
        <v>19.706996281941731</v>
      </c>
    </row>
    <row r="45" spans="2:9" x14ac:dyDescent="0.25">
      <c r="C45" s="138" t="s">
        <v>523</v>
      </c>
      <c r="D45" s="138" t="s">
        <v>537</v>
      </c>
      <c r="E45" s="138" t="s">
        <v>525</v>
      </c>
      <c r="F45" s="138" t="s">
        <v>526</v>
      </c>
      <c r="G45" s="130" t="s">
        <v>527</v>
      </c>
      <c r="H45" s="138" t="s">
        <v>6</v>
      </c>
      <c r="I45" s="130" t="s">
        <v>538</v>
      </c>
    </row>
    <row r="46" spans="2:9" x14ac:dyDescent="0.25">
      <c r="B46" s="138" t="s">
        <v>0</v>
      </c>
      <c r="C46" s="139">
        <v>18.853754043579102</v>
      </c>
      <c r="D46" s="139">
        <v>27.283000000000001</v>
      </c>
      <c r="E46" s="140">
        <f>D46-C46</f>
        <v>8.4292459564208997</v>
      </c>
      <c r="F46" s="140">
        <f>E46-$E$53</f>
        <v>-0.21868126424153544</v>
      </c>
      <c r="G46" s="141">
        <f>2^(-F46)</f>
        <v>1.1636694155944616</v>
      </c>
      <c r="H46" s="140">
        <f>AVERAGE(G46:G48)</f>
        <v>1.0061809510156261</v>
      </c>
      <c r="I46" s="142">
        <f t="shared" ref="I46:I51" si="13">G46/$H$46</f>
        <v>1.1565210158469694</v>
      </c>
    </row>
    <row r="47" spans="2:9" x14ac:dyDescent="0.25">
      <c r="B47" s="138" t="s">
        <v>1</v>
      </c>
      <c r="C47" s="27">
        <v>18.190420150756836</v>
      </c>
      <c r="D47" s="27">
        <v>26.904</v>
      </c>
      <c r="E47" s="140">
        <f>D47-C47</f>
        <v>8.713579849243164</v>
      </c>
      <c r="F47" s="140">
        <f t="shared" ref="F47:F51" si="14">E47-$E$53</f>
        <v>6.5652628580728845E-2</v>
      </c>
      <c r="G47" s="141">
        <f t="shared" ref="G47:G51" si="15">2^(-F47)</f>
        <v>0.9555129766425845</v>
      </c>
      <c r="I47" s="142">
        <f t="shared" si="13"/>
        <v>0.94964327805858584</v>
      </c>
    </row>
    <row r="48" spans="2:9" x14ac:dyDescent="0.25">
      <c r="B48" s="138" t="s">
        <v>2</v>
      </c>
      <c r="C48" s="139">
        <v>18.312044143676758</v>
      </c>
      <c r="D48" s="139">
        <v>27.113</v>
      </c>
      <c r="E48" s="140">
        <f>D48-C48</f>
        <v>8.8009558563232417</v>
      </c>
      <c r="F48" s="140">
        <f t="shared" si="14"/>
        <v>0.1530286356608066</v>
      </c>
      <c r="G48" s="141">
        <f t="shared" si="15"/>
        <v>0.89936046080983212</v>
      </c>
      <c r="I48" s="142">
        <f t="shared" si="13"/>
        <v>0.89383570609444474</v>
      </c>
    </row>
    <row r="49" spans="2:9" x14ac:dyDescent="0.25">
      <c r="B49" s="138" t="s">
        <v>539</v>
      </c>
      <c r="C49" s="139">
        <v>18.597230911254883</v>
      </c>
      <c r="D49">
        <v>30.195</v>
      </c>
      <c r="E49" s="140">
        <f t="shared" ref="E49:E51" si="16">D49-C49</f>
        <v>11.597769088745117</v>
      </c>
      <c r="F49" s="140">
        <f t="shared" si="14"/>
        <v>2.9498418680826823</v>
      </c>
      <c r="G49" s="141">
        <f t="shared" si="15"/>
        <v>0.12942230051191486</v>
      </c>
      <c r="I49" s="142">
        <f t="shared" si="13"/>
        <v>0.12862726170802344</v>
      </c>
    </row>
    <row r="50" spans="2:9" x14ac:dyDescent="0.25">
      <c r="B50" s="138" t="s">
        <v>540</v>
      </c>
      <c r="C50" s="139">
        <v>18.535625457763672</v>
      </c>
      <c r="D50" s="139">
        <v>29.873999999999999</v>
      </c>
      <c r="E50" s="140">
        <f t="shared" si="16"/>
        <v>11.338374542236327</v>
      </c>
      <c r="F50" s="140">
        <f t="shared" si="14"/>
        <v>2.6904473215738918</v>
      </c>
      <c r="G50" s="141">
        <f t="shared" si="15"/>
        <v>0.15491542201767294</v>
      </c>
      <c r="I50" s="142">
        <f t="shared" si="13"/>
        <v>0.15396377943878117</v>
      </c>
    </row>
    <row r="51" spans="2:9" x14ac:dyDescent="0.25">
      <c r="B51" s="138" t="s">
        <v>541</v>
      </c>
      <c r="C51" s="139">
        <v>18.063810348510742</v>
      </c>
      <c r="D51" s="139">
        <v>29.39</v>
      </c>
      <c r="E51" s="140">
        <f t="shared" si="16"/>
        <v>11.326189651489258</v>
      </c>
      <c r="F51" s="140">
        <f t="shared" si="14"/>
        <v>2.6782624308268232</v>
      </c>
      <c r="G51" s="141">
        <f t="shared" si="15"/>
        <v>0.1562293666184747</v>
      </c>
      <c r="I51" s="142">
        <f t="shared" si="13"/>
        <v>0.15526965250214564</v>
      </c>
    </row>
    <row r="53" spans="2:9" x14ac:dyDescent="0.25">
      <c r="D53" s="1" t="s">
        <v>6</v>
      </c>
      <c r="E53" s="139">
        <f>AVERAGE(E46:E48)</f>
        <v>8.6479272206624351</v>
      </c>
    </row>
    <row r="63" spans="2:9" x14ac:dyDescent="0.25">
      <c r="B63" s="137"/>
      <c r="C63" s="138" t="s">
        <v>523</v>
      </c>
      <c r="D63" s="138" t="s">
        <v>533</v>
      </c>
      <c r="E63" s="138" t="s">
        <v>525</v>
      </c>
      <c r="F63" s="138" t="s">
        <v>526</v>
      </c>
      <c r="G63" s="138" t="s">
        <v>527</v>
      </c>
      <c r="H63" s="138" t="s">
        <v>6</v>
      </c>
      <c r="I63" s="138" t="s">
        <v>528</v>
      </c>
    </row>
    <row r="64" spans="2:9" x14ac:dyDescent="0.25">
      <c r="B64" s="138" t="s">
        <v>0</v>
      </c>
      <c r="C64" s="147">
        <v>18.614723205566406</v>
      </c>
      <c r="D64" s="147">
        <v>36.912754058837891</v>
      </c>
      <c r="E64" s="148">
        <f>D64-C64</f>
        <v>18.298030853271484</v>
      </c>
      <c r="F64" s="148">
        <f t="shared" ref="F64:F69" si="17">E64-$E$71</f>
        <v>-7.5805023193357357E-2</v>
      </c>
      <c r="G64" s="149">
        <f t="shared" ref="G64:G69" si="18">2^(-F64)</f>
        <v>1.0539489749656064</v>
      </c>
      <c r="H64" s="148">
        <f>AVERAGE(G64:G66)</f>
        <v>1.0071067216054601</v>
      </c>
      <c r="I64" s="39">
        <f t="shared" ref="I64:I69" si="19">G64/$H$64</f>
        <v>1.0465117076028185</v>
      </c>
    </row>
    <row r="65" spans="2:9" x14ac:dyDescent="0.25">
      <c r="B65" s="138" t="s">
        <v>1</v>
      </c>
      <c r="C65" s="147">
        <v>18.94471549987793</v>
      </c>
      <c r="D65" s="3">
        <v>37.558999999999997</v>
      </c>
      <c r="E65" s="148">
        <f>D65-C65</f>
        <v>18.614284500122068</v>
      </c>
      <c r="F65" s="148">
        <f t="shared" si="17"/>
        <v>0.24044862365722608</v>
      </c>
      <c r="G65" s="149">
        <f t="shared" si="18"/>
        <v>0.84648204749259859</v>
      </c>
      <c r="H65" s="3"/>
      <c r="I65" s="39">
        <f t="shared" si="19"/>
        <v>0.84050878554677433</v>
      </c>
    </row>
    <row r="66" spans="2:9" x14ac:dyDescent="0.25">
      <c r="B66" s="138" t="s">
        <v>2</v>
      </c>
      <c r="C66" s="147">
        <v>17.698720932006836</v>
      </c>
      <c r="D66" s="147">
        <v>35.907913208007813</v>
      </c>
      <c r="E66" s="148">
        <f t="shared" ref="E66:E69" si="20">D66-C66</f>
        <v>18.209192276000977</v>
      </c>
      <c r="F66" s="148">
        <f t="shared" si="17"/>
        <v>-0.16464360046386517</v>
      </c>
      <c r="G66" s="149">
        <f t="shared" si="18"/>
        <v>1.1208891423581753</v>
      </c>
      <c r="H66" s="3"/>
      <c r="I66" s="39">
        <f t="shared" si="19"/>
        <v>1.1129795068504071</v>
      </c>
    </row>
    <row r="67" spans="2:9" x14ac:dyDescent="0.25">
      <c r="B67" s="150" t="s">
        <v>486</v>
      </c>
      <c r="C67" s="147">
        <v>18.253665924072266</v>
      </c>
      <c r="D67" s="147">
        <v>29.061775207519531</v>
      </c>
      <c r="E67" s="148">
        <f t="shared" si="20"/>
        <v>10.808109283447266</v>
      </c>
      <c r="F67" s="148">
        <f t="shared" si="17"/>
        <v>-7.5657265930175761</v>
      </c>
      <c r="G67" s="149">
        <f t="shared" si="18"/>
        <v>189.45699450431587</v>
      </c>
      <c r="H67" s="3"/>
      <c r="I67" s="39">
        <f t="shared" si="19"/>
        <v>188.12007748523075</v>
      </c>
    </row>
    <row r="68" spans="2:9" x14ac:dyDescent="0.25">
      <c r="B68" s="150" t="s">
        <v>487</v>
      </c>
      <c r="C68" s="147">
        <v>18.210088729858398</v>
      </c>
      <c r="D68" s="147">
        <v>29.190393447875977</v>
      </c>
      <c r="E68" s="148">
        <f t="shared" si="20"/>
        <v>10.980304718017578</v>
      </c>
      <c r="F68" s="148">
        <f t="shared" si="17"/>
        <v>-7.3935311584472636</v>
      </c>
      <c r="G68" s="149">
        <f t="shared" si="18"/>
        <v>168.14139744301812</v>
      </c>
      <c r="H68" s="3"/>
      <c r="I68" s="39">
        <f t="shared" si="19"/>
        <v>166.95489548017184</v>
      </c>
    </row>
    <row r="69" spans="2:9" x14ac:dyDescent="0.25">
      <c r="B69" s="150" t="s">
        <v>488</v>
      </c>
      <c r="C69" s="147">
        <v>18.442098617553711</v>
      </c>
      <c r="D69" s="147">
        <v>29.796092987060547</v>
      </c>
      <c r="E69" s="148">
        <f t="shared" si="20"/>
        <v>11.353994369506836</v>
      </c>
      <c r="F69" s="148">
        <f t="shared" si="17"/>
        <v>-7.0198415069580058</v>
      </c>
      <c r="G69" s="149">
        <f t="shared" si="18"/>
        <v>129.77255594608442</v>
      </c>
      <c r="H69" s="3"/>
      <c r="I69" s="39">
        <f t="shared" si="19"/>
        <v>128.85680649535331</v>
      </c>
    </row>
    <row r="70" spans="2:9" x14ac:dyDescent="0.25">
      <c r="B70" s="138"/>
      <c r="C70" s="151"/>
      <c r="D70" s="151"/>
      <c r="E70" s="151"/>
      <c r="F70" s="151"/>
      <c r="G70" s="151"/>
      <c r="H70" s="151"/>
      <c r="I70" s="151"/>
    </row>
    <row r="71" spans="2:9" x14ac:dyDescent="0.25">
      <c r="C71" s="151"/>
      <c r="D71" s="138" t="s">
        <v>6</v>
      </c>
      <c r="E71" s="148">
        <f>AVERAGE(E64:E66)</f>
        <v>18.373835876464842</v>
      </c>
      <c r="G71" s="151"/>
      <c r="H71" s="151"/>
      <c r="I71" s="151"/>
    </row>
    <row r="79" spans="2:9" x14ac:dyDescent="0.25">
      <c r="C79" s="138" t="s">
        <v>523</v>
      </c>
      <c r="D79" s="138" t="s">
        <v>542</v>
      </c>
      <c r="E79" s="138" t="s">
        <v>525</v>
      </c>
      <c r="F79" s="138" t="s">
        <v>526</v>
      </c>
      <c r="G79" s="130" t="s">
        <v>527</v>
      </c>
      <c r="H79" s="138" t="s">
        <v>6</v>
      </c>
      <c r="I79" s="138" t="s">
        <v>528</v>
      </c>
    </row>
    <row r="80" spans="2:9" x14ac:dyDescent="0.25">
      <c r="B80" s="138" t="s">
        <v>0</v>
      </c>
      <c r="C80" s="139">
        <v>16.993318557739258</v>
      </c>
      <c r="D80" s="139">
        <v>29.545999999999999</v>
      </c>
      <c r="E80" s="140">
        <f>D80-C80</f>
        <v>12.552681442260742</v>
      </c>
      <c r="F80" s="140">
        <f>E80-$E$88</f>
        <v>-2.4165191650389772E-2</v>
      </c>
      <c r="G80" s="141">
        <f>2^(-F80)</f>
        <v>1.01689110282003</v>
      </c>
      <c r="H80" s="140">
        <f>AVERAGE(G80:G82)</f>
        <v>1.0139114871353747</v>
      </c>
      <c r="I80" s="141">
        <f t="shared" ref="I80:I85" si="21">G80/$H$80</f>
        <v>1.0029387335309452</v>
      </c>
    </row>
    <row r="81" spans="2:10" x14ac:dyDescent="0.25">
      <c r="B81" s="138" t="s">
        <v>1</v>
      </c>
      <c r="C81" s="139">
        <v>17.029367446899414</v>
      </c>
      <c r="D81" s="139">
        <v>29.913</v>
      </c>
      <c r="E81" s="140">
        <f t="shared" ref="E81" si="22">D81-C81</f>
        <v>12.883632553100586</v>
      </c>
      <c r="F81" s="140">
        <f t="shared" ref="F81:F85" si="23">E81-$E$88</f>
        <v>0.30678591918945486</v>
      </c>
      <c r="G81" s="141">
        <f t="shared" ref="G81" si="24">2^(-F81)</f>
        <v>0.80844082404323625</v>
      </c>
      <c r="I81" s="141">
        <f t="shared" si="21"/>
        <v>0.79734852035984027</v>
      </c>
    </row>
    <row r="82" spans="2:10" x14ac:dyDescent="0.25">
      <c r="B82" s="138" t="s">
        <v>2</v>
      </c>
      <c r="C82" s="139">
        <v>17.50477409362793</v>
      </c>
      <c r="D82" s="139">
        <v>29.798999999999999</v>
      </c>
      <c r="E82" s="140">
        <f>D82-C82</f>
        <v>12.29422590637207</v>
      </c>
      <c r="F82" s="140">
        <f t="shared" si="23"/>
        <v>-0.28262072753906153</v>
      </c>
      <c r="G82" s="141">
        <f>2^(-F82)</f>
        <v>1.2164025345428577</v>
      </c>
      <c r="I82" s="141">
        <f t="shared" si="21"/>
        <v>1.1997127461092143</v>
      </c>
    </row>
    <row r="83" spans="2:10" x14ac:dyDescent="0.25">
      <c r="B83" s="138" t="s">
        <v>543</v>
      </c>
      <c r="C83" s="139">
        <v>17.475196838378906</v>
      </c>
      <c r="D83" s="139">
        <v>31.448</v>
      </c>
      <c r="E83" s="140">
        <f t="shared" ref="E83" si="25">D83-C83</f>
        <v>13.972803161621094</v>
      </c>
      <c r="F83" s="140">
        <f t="shared" si="23"/>
        <v>1.3959565277099628</v>
      </c>
      <c r="G83" s="141">
        <f>2^(-F83)</f>
        <v>0.37999266413102167</v>
      </c>
      <c r="I83" s="141">
        <f t="shared" si="21"/>
        <v>0.37477893184209093</v>
      </c>
    </row>
    <row r="84" spans="2:10" x14ac:dyDescent="0.25">
      <c r="B84" s="138" t="s">
        <v>544</v>
      </c>
      <c r="C84" s="139">
        <v>17.24091911315918</v>
      </c>
      <c r="D84" s="139">
        <v>30.81</v>
      </c>
      <c r="E84" s="140">
        <f>D84-C84</f>
        <v>13.569080886840819</v>
      </c>
      <c r="F84" s="140">
        <f t="shared" si="23"/>
        <v>0.9922342529296877</v>
      </c>
      <c r="G84" s="141">
        <f>2^(-F84)</f>
        <v>0.50269865950719073</v>
      </c>
      <c r="I84" s="141">
        <f t="shared" si="21"/>
        <v>0.4958013257424233</v>
      </c>
    </row>
    <row r="85" spans="2:10" x14ac:dyDescent="0.25">
      <c r="B85" s="138" t="s">
        <v>545</v>
      </c>
      <c r="C85" s="139">
        <v>17.188688278198242</v>
      </c>
      <c r="D85" s="139">
        <v>30.878</v>
      </c>
      <c r="E85" s="140">
        <f t="shared" ref="E85" si="26">D85-C85</f>
        <v>13.689311721801758</v>
      </c>
      <c r="F85" s="140">
        <f t="shared" si="23"/>
        <v>1.1124650878906266</v>
      </c>
      <c r="G85" s="141">
        <f>2^(-F85)</f>
        <v>0.46250309084551799</v>
      </c>
      <c r="I85" s="141">
        <f t="shared" si="21"/>
        <v>0.45615726492283626</v>
      </c>
    </row>
    <row r="88" spans="2:10" x14ac:dyDescent="0.25">
      <c r="D88" s="138" t="s">
        <v>6</v>
      </c>
      <c r="E88" s="139">
        <f>AVERAGE(E80:E82)</f>
        <v>12.576846633911131</v>
      </c>
    </row>
    <row r="96" spans="2:10" x14ac:dyDescent="0.25">
      <c r="E96" s="137"/>
      <c r="F96" s="137"/>
      <c r="G96" s="137"/>
      <c r="H96" s="137"/>
      <c r="I96" s="137"/>
      <c r="J96" s="137"/>
    </row>
    <row r="97" spans="2:10" x14ac:dyDescent="0.25">
      <c r="C97" s="138" t="s">
        <v>523</v>
      </c>
      <c r="D97" s="138" t="s">
        <v>546</v>
      </c>
      <c r="E97" s="138" t="s">
        <v>525</v>
      </c>
      <c r="F97" s="138" t="s">
        <v>526</v>
      </c>
      <c r="G97" s="130" t="s">
        <v>527</v>
      </c>
      <c r="H97" s="138" t="s">
        <v>6</v>
      </c>
      <c r="I97" s="138" t="s">
        <v>528</v>
      </c>
    </row>
    <row r="98" spans="2:10" x14ac:dyDescent="0.25">
      <c r="B98" s="138" t="s">
        <v>0</v>
      </c>
      <c r="C98" s="139">
        <v>17.583621978759766</v>
      </c>
      <c r="D98" s="139">
        <v>33.4014892578125</v>
      </c>
      <c r="E98" s="140">
        <f>D98-C98</f>
        <v>15.817867279052734</v>
      </c>
      <c r="F98" s="140">
        <f>E98-$E$105</f>
        <v>0.10861968994140625</v>
      </c>
      <c r="G98" s="141">
        <f>2^(-F98)</f>
        <v>0.92747500668295235</v>
      </c>
      <c r="H98" s="152">
        <f>AVERAGE(G98:G100)</f>
        <v>1.014277020994401</v>
      </c>
      <c r="I98" s="141">
        <f t="shared" ref="I98:I103" si="27">G98/$H$98</f>
        <v>0.9144198157754303</v>
      </c>
    </row>
    <row r="99" spans="2:10" x14ac:dyDescent="0.25">
      <c r="B99" s="138" t="s">
        <v>1</v>
      </c>
      <c r="C99" s="139">
        <v>17.468708038330078</v>
      </c>
      <c r="D99" s="139">
        <v>33.4014892578125</v>
      </c>
      <c r="E99" s="140">
        <f t="shared" ref="E99" si="28">D99-C99</f>
        <v>15.932781219482422</v>
      </c>
      <c r="F99" s="140">
        <f t="shared" ref="F99:F103" si="29">E99-$E$105</f>
        <v>0.22353363037109375</v>
      </c>
      <c r="G99" s="141">
        <f>2^(-F99)</f>
        <v>0.85646510310313384</v>
      </c>
      <c r="I99" s="141">
        <f t="shared" si="27"/>
        <v>0.84440945163428061</v>
      </c>
      <c r="J99" s="152"/>
    </row>
    <row r="100" spans="2:10" x14ac:dyDescent="0.25">
      <c r="B100" s="138" t="s">
        <v>2</v>
      </c>
      <c r="C100" s="139">
        <v>17.511741638183594</v>
      </c>
      <c r="D100" s="139">
        <v>32.888835906982422</v>
      </c>
      <c r="E100" s="140">
        <f>D100-C100</f>
        <v>15.377094268798828</v>
      </c>
      <c r="F100" s="140">
        <f t="shared" si="29"/>
        <v>-0.3321533203125</v>
      </c>
      <c r="G100" s="141">
        <f t="shared" ref="G100" si="30">2^(-F100)</f>
        <v>1.2588909531971166</v>
      </c>
      <c r="I100" s="141">
        <f t="shared" si="27"/>
        <v>1.241170732590289</v>
      </c>
      <c r="J100" s="152"/>
    </row>
    <row r="101" spans="2:10" x14ac:dyDescent="0.25">
      <c r="B101" s="130" t="s">
        <v>547</v>
      </c>
      <c r="C101" s="139">
        <v>17.553106307983398</v>
      </c>
      <c r="D101" s="139">
        <v>34.151058197021484</v>
      </c>
      <c r="E101" s="140">
        <f t="shared" ref="E101:E103" si="31">D101-C101</f>
        <v>16.597951889038086</v>
      </c>
      <c r="F101" s="140">
        <f t="shared" si="29"/>
        <v>0.88870429992675781</v>
      </c>
      <c r="G101" s="141">
        <f>2^(-F101)</f>
        <v>0.54009896924041945</v>
      </c>
      <c r="I101" s="141">
        <f t="shared" si="27"/>
        <v>0.53249650545262717</v>
      </c>
    </row>
    <row r="102" spans="2:10" x14ac:dyDescent="0.25">
      <c r="B102" s="130" t="s">
        <v>548</v>
      </c>
      <c r="C102" s="139">
        <v>17.566673278808594</v>
      </c>
      <c r="D102" s="139">
        <v>33.998172760009766</v>
      </c>
      <c r="E102" s="140">
        <f t="shared" si="31"/>
        <v>16.431499481201172</v>
      </c>
      <c r="F102" s="140">
        <f t="shared" si="29"/>
        <v>0.72225189208984375</v>
      </c>
      <c r="G102" s="141">
        <f>2^(-F102)</f>
        <v>0.60615056743751605</v>
      </c>
      <c r="I102" s="141">
        <f t="shared" si="27"/>
        <v>0.59761835759942961</v>
      </c>
    </row>
    <row r="103" spans="2:10" x14ac:dyDescent="0.25">
      <c r="B103" s="130" t="s">
        <v>549</v>
      </c>
      <c r="C103" s="139">
        <v>16.723674774169922</v>
      </c>
      <c r="D103" s="139">
        <v>33.513023376464844</v>
      </c>
      <c r="E103" s="140">
        <f t="shared" si="31"/>
        <v>16.789348602294922</v>
      </c>
      <c r="F103" s="140">
        <f t="shared" si="29"/>
        <v>1.0801010131835938</v>
      </c>
      <c r="G103" s="141">
        <f>2^(-F103)</f>
        <v>0.47299570446151745</v>
      </c>
      <c r="I103" s="141">
        <f t="shared" si="27"/>
        <v>0.46633779004259673</v>
      </c>
    </row>
    <row r="105" spans="2:10" x14ac:dyDescent="0.25">
      <c r="D105" s="138" t="s">
        <v>6</v>
      </c>
      <c r="E105" s="139">
        <f>AVERAGE(E98:E100)</f>
        <v>15.709247589111328</v>
      </c>
    </row>
    <row r="112" spans="2:10" x14ac:dyDescent="0.25">
      <c r="B112" s="137"/>
      <c r="F112" s="137"/>
      <c r="G112" s="137"/>
      <c r="H112" s="137"/>
      <c r="I112" s="137"/>
    </row>
    <row r="113" spans="2:10" x14ac:dyDescent="0.25">
      <c r="B113" s="137"/>
      <c r="C113" s="138" t="s">
        <v>523</v>
      </c>
      <c r="D113" s="138" t="s">
        <v>550</v>
      </c>
      <c r="E113" s="138" t="s">
        <v>525</v>
      </c>
      <c r="F113" s="138" t="s">
        <v>526</v>
      </c>
      <c r="G113" s="138" t="s">
        <v>527</v>
      </c>
      <c r="H113" s="138" t="s">
        <v>6</v>
      </c>
      <c r="I113" s="138" t="s">
        <v>551</v>
      </c>
    </row>
    <row r="114" spans="2:10" x14ac:dyDescent="0.25">
      <c r="B114" s="138" t="s">
        <v>0</v>
      </c>
      <c r="C114" s="140">
        <v>20.113705635070801</v>
      </c>
      <c r="D114" s="140">
        <v>32.381773198003003</v>
      </c>
      <c r="E114" s="140">
        <f>D114-C114</f>
        <v>12.268067562932202</v>
      </c>
      <c r="F114" s="140">
        <f>E114-$E$121</f>
        <v>-6.3984658746930378E-2</v>
      </c>
      <c r="G114" s="141">
        <f>2^(-F114)</f>
        <v>1.045348984170158</v>
      </c>
      <c r="H114" s="140">
        <f>AVERAGE(G114:G116)</f>
        <v>1.0005650335088687</v>
      </c>
      <c r="I114" s="141">
        <f t="shared" ref="I114:I119" si="32">G114/$H$114</f>
        <v>1.0447586605182844</v>
      </c>
    </row>
    <row r="115" spans="2:10" x14ac:dyDescent="0.25">
      <c r="B115" s="138" t="s">
        <v>1</v>
      </c>
      <c r="C115" s="140">
        <v>25.86582088470459</v>
      </c>
      <c r="D115" s="140">
        <v>38.2509429291025</v>
      </c>
      <c r="E115" s="140">
        <f>D115-C115</f>
        <v>12.38512204439791</v>
      </c>
      <c r="F115" s="140">
        <f t="shared" ref="F115:F119" si="33">E115-$E$121</f>
        <v>5.306982271877736E-2</v>
      </c>
      <c r="G115" s="141">
        <f t="shared" ref="G115:G119" si="34">2^(-F115)</f>
        <v>0.96388315715314477</v>
      </c>
      <c r="I115" s="141">
        <f t="shared" si="32"/>
        <v>0.96333883842903767</v>
      </c>
    </row>
    <row r="116" spans="2:10" x14ac:dyDescent="0.25">
      <c r="B116" s="138" t="s">
        <v>2</v>
      </c>
      <c r="C116" s="140">
        <v>20.071911811828613</v>
      </c>
      <c r="D116" s="140">
        <v>32.414878869535897</v>
      </c>
      <c r="E116" s="140">
        <f>D116-C116</f>
        <v>12.342967057707284</v>
      </c>
      <c r="F116" s="140">
        <f t="shared" si="33"/>
        <v>1.0914836028151242E-2</v>
      </c>
      <c r="G116" s="141">
        <f t="shared" si="34"/>
        <v>0.99246295920330385</v>
      </c>
      <c r="I116" s="141">
        <f t="shared" si="32"/>
        <v>0.99190250105267841</v>
      </c>
    </row>
    <row r="117" spans="2:10" x14ac:dyDescent="0.25">
      <c r="B117" s="130" t="s">
        <v>552</v>
      </c>
      <c r="C117" s="140">
        <v>19.827604293823242</v>
      </c>
      <c r="D117" s="140">
        <v>33.199378201520702</v>
      </c>
      <c r="E117" s="140">
        <f t="shared" ref="E117:E119" si="35">D117-C117</f>
        <v>13.37177390769746</v>
      </c>
      <c r="F117" s="140">
        <f t="shared" si="33"/>
        <v>1.0397216860183267</v>
      </c>
      <c r="G117" s="141">
        <f t="shared" si="34"/>
        <v>0.48642130143004253</v>
      </c>
      <c r="I117" s="141">
        <f t="shared" si="32"/>
        <v>0.48614661230386785</v>
      </c>
    </row>
    <row r="118" spans="2:10" x14ac:dyDescent="0.25">
      <c r="B118" s="130" t="s">
        <v>553</v>
      </c>
      <c r="C118" s="140">
        <v>19.867884635925293</v>
      </c>
      <c r="D118" s="140">
        <v>32.941506552123798</v>
      </c>
      <c r="E118" s="140">
        <f t="shared" si="35"/>
        <v>13.073621916198505</v>
      </c>
      <c r="F118" s="140">
        <f t="shared" si="33"/>
        <v>0.74156969451937194</v>
      </c>
      <c r="G118" s="141">
        <f t="shared" si="34"/>
        <v>0.59808826060052978</v>
      </c>
      <c r="I118" s="141">
        <f t="shared" si="32"/>
        <v>0.59775051153157099</v>
      </c>
    </row>
    <row r="119" spans="2:10" x14ac:dyDescent="0.25">
      <c r="B119" s="130" t="s">
        <v>554</v>
      </c>
      <c r="C119" s="140">
        <v>20.794364929199219</v>
      </c>
      <c r="D119" s="140">
        <v>33.652200328192102</v>
      </c>
      <c r="E119" s="140">
        <f t="shared" si="35"/>
        <v>12.857835398992883</v>
      </c>
      <c r="F119" s="140">
        <f t="shared" si="33"/>
        <v>0.52578317731375002</v>
      </c>
      <c r="G119" s="141">
        <f t="shared" si="34"/>
        <v>0.69458194878311341</v>
      </c>
      <c r="I119" s="141">
        <f t="shared" si="32"/>
        <v>0.6941897083363916</v>
      </c>
    </row>
    <row r="120" spans="2:10" x14ac:dyDescent="0.25">
      <c r="B120" s="138"/>
      <c r="C120" s="137"/>
      <c r="D120" s="137"/>
      <c r="E120" s="137"/>
      <c r="F120" s="137"/>
      <c r="G120" s="137"/>
      <c r="H120" s="137"/>
      <c r="I120" s="137"/>
    </row>
    <row r="121" spans="2:10" x14ac:dyDescent="0.25">
      <c r="C121" s="137"/>
      <c r="D121" s="138" t="s">
        <v>6</v>
      </c>
      <c r="E121" s="140">
        <f>AVERAGE(E114:E116)</f>
        <v>12.332052221679133</v>
      </c>
      <c r="F121" s="137"/>
      <c r="G121" s="137"/>
      <c r="H121" s="137"/>
      <c r="I121" s="137"/>
    </row>
    <row r="128" spans="2:10" x14ac:dyDescent="0.25">
      <c r="B128" s="137"/>
      <c r="E128" s="137"/>
      <c r="F128" s="137"/>
      <c r="G128" s="137"/>
      <c r="H128" s="137"/>
      <c r="I128" s="137"/>
      <c r="J128" s="137"/>
    </row>
    <row r="129" spans="2:10" x14ac:dyDescent="0.25">
      <c r="B129" s="137"/>
      <c r="C129" s="138" t="s">
        <v>523</v>
      </c>
      <c r="D129" s="138" t="s">
        <v>555</v>
      </c>
      <c r="E129" s="138" t="s">
        <v>525</v>
      </c>
      <c r="F129" s="138" t="s">
        <v>526</v>
      </c>
      <c r="G129" s="138" t="s">
        <v>527</v>
      </c>
      <c r="H129" s="138" t="s">
        <v>6</v>
      </c>
      <c r="I129" s="138" t="s">
        <v>551</v>
      </c>
    </row>
    <row r="130" spans="2:10" x14ac:dyDescent="0.25">
      <c r="B130" s="138" t="s">
        <v>0</v>
      </c>
      <c r="C130" s="140">
        <v>20.113705635070801</v>
      </c>
      <c r="D130" s="140">
        <v>24.437269077685201</v>
      </c>
      <c r="E130" s="140">
        <f>D130-C130</f>
        <v>4.3235634426144003</v>
      </c>
      <c r="F130" s="140">
        <f>E130-$E$137</f>
        <v>0.13079500983966685</v>
      </c>
      <c r="G130" s="141">
        <f>2^(-F130)</f>
        <v>0.91332801406485253</v>
      </c>
      <c r="H130" s="140">
        <f>AVERAGE(G130:G132)</f>
        <v>1.0031825677433457</v>
      </c>
      <c r="I130" s="142">
        <f t="shared" ref="I130:I135" si="36">G130/$H$130</f>
        <v>0.91043050729976249</v>
      </c>
    </row>
    <row r="131" spans="2:10" x14ac:dyDescent="0.25">
      <c r="B131" s="138" t="s">
        <v>1</v>
      </c>
      <c r="C131" s="140">
        <v>25.86582088470459</v>
      </c>
      <c r="D131" s="140">
        <v>29.910084196928501</v>
      </c>
      <c r="E131" s="140">
        <f t="shared" ref="E131:E135" si="37">D131-C131</f>
        <v>4.0442633122239116</v>
      </c>
      <c r="F131" s="140">
        <f t="shared" ref="F131:F135" si="38">E131-$E$137</f>
        <v>-0.14850512055082188</v>
      </c>
      <c r="G131" s="141">
        <f t="shared" ref="G131:G134" si="39">2^(-F131)</f>
        <v>1.1084203632705214</v>
      </c>
      <c r="I131" s="142">
        <f t="shared" si="36"/>
        <v>1.1049039316581304</v>
      </c>
      <c r="J131" s="140"/>
    </row>
    <row r="132" spans="2:10" x14ac:dyDescent="0.25">
      <c r="B132" s="138" t="s">
        <v>2</v>
      </c>
      <c r="C132" s="140">
        <v>20.071911811828613</v>
      </c>
      <c r="D132" s="140">
        <v>24.282390355314501</v>
      </c>
      <c r="E132" s="140">
        <f>D132-C132</f>
        <v>4.2104785434858876</v>
      </c>
      <c r="F132" s="140">
        <f t="shared" si="38"/>
        <v>1.7710110711154137E-2</v>
      </c>
      <c r="G132" s="141">
        <f t="shared" si="39"/>
        <v>0.98779932589466268</v>
      </c>
      <c r="I132" s="142">
        <f t="shared" si="36"/>
        <v>0.98466556104210667</v>
      </c>
    </row>
    <row r="133" spans="2:10" x14ac:dyDescent="0.25">
      <c r="B133" s="1" t="s">
        <v>556</v>
      </c>
      <c r="C133" s="140">
        <v>19.59056568145752</v>
      </c>
      <c r="D133" s="140">
        <v>24.4923553789835</v>
      </c>
      <c r="E133" s="140">
        <f t="shared" si="37"/>
        <v>4.9017896975259809</v>
      </c>
      <c r="F133" s="140">
        <f t="shared" si="38"/>
        <v>0.70902126475124749</v>
      </c>
      <c r="G133" s="141">
        <f t="shared" si="39"/>
        <v>0.61173500376876844</v>
      </c>
      <c r="I133" s="142">
        <f t="shared" si="36"/>
        <v>0.60979429212457648</v>
      </c>
    </row>
    <row r="134" spans="2:10" x14ac:dyDescent="0.25">
      <c r="B134" s="1" t="s">
        <v>557</v>
      </c>
      <c r="C134" s="140">
        <v>20.027257919311523</v>
      </c>
      <c r="D134" s="140">
        <v>24.989725070130401</v>
      </c>
      <c r="E134" s="140">
        <f t="shared" si="37"/>
        <v>4.9624671508188776</v>
      </c>
      <c r="F134" s="140">
        <f t="shared" si="38"/>
        <v>0.76969871804414414</v>
      </c>
      <c r="G134" s="141">
        <f t="shared" si="39"/>
        <v>0.58653995057097352</v>
      </c>
      <c r="I134" s="142">
        <f t="shared" si="36"/>
        <v>0.58467916950589793</v>
      </c>
    </row>
    <row r="135" spans="2:10" x14ac:dyDescent="0.25">
      <c r="B135" s="1" t="s">
        <v>558</v>
      </c>
      <c r="C135" s="140">
        <v>21.130857467651367</v>
      </c>
      <c r="D135" s="140">
        <v>26.0430394197219</v>
      </c>
      <c r="E135" s="140">
        <f t="shared" si="37"/>
        <v>4.912181952070533</v>
      </c>
      <c r="F135" s="140">
        <f t="shared" si="38"/>
        <v>0.71941351929579955</v>
      </c>
      <c r="G135" s="141">
        <f>2^(-F135)</f>
        <v>0.60734428806972185</v>
      </c>
      <c r="I135" s="142">
        <f t="shared" si="36"/>
        <v>0.60541750584436482</v>
      </c>
    </row>
    <row r="136" spans="2:10" x14ac:dyDescent="0.25">
      <c r="B136" s="138"/>
      <c r="C136" s="137"/>
      <c r="D136" s="137"/>
      <c r="E136" s="137"/>
      <c r="F136" s="137"/>
      <c r="G136" s="137"/>
      <c r="H136" s="137"/>
      <c r="I136" s="137"/>
      <c r="J136" s="137"/>
    </row>
    <row r="137" spans="2:10" x14ac:dyDescent="0.25">
      <c r="C137" s="137"/>
      <c r="D137" s="138" t="s">
        <v>6</v>
      </c>
      <c r="E137" s="140">
        <f>AVERAGE(E130:E132)</f>
        <v>4.1927684327747334</v>
      </c>
      <c r="F137" s="137"/>
      <c r="G137" s="137"/>
      <c r="H137" s="137"/>
      <c r="I137" s="137"/>
      <c r="J137" s="137"/>
    </row>
    <row r="143" spans="2:10" x14ac:dyDescent="0.25">
      <c r="B143" s="137"/>
      <c r="C143" s="138" t="s">
        <v>523</v>
      </c>
      <c r="D143" s="138" t="s">
        <v>559</v>
      </c>
      <c r="E143" s="138" t="s">
        <v>525</v>
      </c>
      <c r="F143" s="138" t="s">
        <v>526</v>
      </c>
      <c r="G143" s="138" t="s">
        <v>527</v>
      </c>
      <c r="H143" s="138" t="s">
        <v>6</v>
      </c>
      <c r="I143" s="138" t="s">
        <v>551</v>
      </c>
    </row>
    <row r="144" spans="2:10" x14ac:dyDescent="0.25">
      <c r="B144" s="138" t="s">
        <v>0</v>
      </c>
      <c r="C144" s="140">
        <v>20.113705635070801</v>
      </c>
      <c r="D144" s="140">
        <v>30.170300865000002</v>
      </c>
      <c r="E144" s="140">
        <f>D144-C144</f>
        <v>10.056595229929201</v>
      </c>
      <c r="F144" s="140">
        <f>E144-$E$151</f>
        <v>5.974215346386913E-2</v>
      </c>
      <c r="G144" s="141">
        <f>2^(-F144)</f>
        <v>0.95943557970182736</v>
      </c>
      <c r="H144" s="140">
        <f>AVERAGE(G144:G146)</f>
        <v>1.0010891974458789</v>
      </c>
      <c r="I144" s="142">
        <f t="shared" ref="I144:I149" si="40">G144/$H$144</f>
        <v>0.95839170190795775</v>
      </c>
    </row>
    <row r="145" spans="2:10" x14ac:dyDescent="0.25">
      <c r="B145" s="138" t="s">
        <v>1</v>
      </c>
      <c r="C145" s="140">
        <v>25.86582088470459</v>
      </c>
      <c r="D145" s="140">
        <v>35.896496411999998</v>
      </c>
      <c r="E145" s="140">
        <f t="shared" ref="E145" si="41">D145-C145</f>
        <v>10.030675527295408</v>
      </c>
      <c r="F145" s="140">
        <f t="shared" ref="F145:F149" si="42">E145-$E$151</f>
        <v>3.3822450830076178E-2</v>
      </c>
      <c r="G145" s="141">
        <f>2^(-F145)</f>
        <v>0.97682873763759948</v>
      </c>
      <c r="I145" s="142">
        <f t="shared" si="40"/>
        <v>0.97576593587247162</v>
      </c>
      <c r="J145" s="140"/>
    </row>
    <row r="146" spans="2:10" x14ac:dyDescent="0.25">
      <c r="B146" s="138" t="s">
        <v>2</v>
      </c>
      <c r="C146" s="140">
        <v>20.071911811828613</v>
      </c>
      <c r="D146" s="140">
        <v>29.975200284</v>
      </c>
      <c r="E146" s="140">
        <f>D146-C146</f>
        <v>9.9032884721713863</v>
      </c>
      <c r="F146" s="140">
        <f t="shared" si="42"/>
        <v>-9.3564604293945308E-2</v>
      </c>
      <c r="G146" s="141">
        <f t="shared" ref="G146" si="43">2^(-F146)</f>
        <v>1.0670032749982097</v>
      </c>
      <c r="I146" s="142">
        <f t="shared" si="40"/>
        <v>1.0658423622195705</v>
      </c>
    </row>
    <row r="147" spans="2:10" x14ac:dyDescent="0.25">
      <c r="B147" s="1" t="s">
        <v>560</v>
      </c>
      <c r="C147" s="140">
        <v>19.59056568145752</v>
      </c>
      <c r="D147" s="140">
        <v>30.493000193</v>
      </c>
      <c r="E147" s="140">
        <f t="shared" ref="E147:E149" si="44">D147-C147</f>
        <v>10.902434511542481</v>
      </c>
      <c r="F147" s="140">
        <f t="shared" si="42"/>
        <v>0.90558143507714917</v>
      </c>
      <c r="G147" s="141">
        <f t="shared" ref="G147:G149" si="45">2^(-F147)</f>
        <v>0.53381752148283068</v>
      </c>
      <c r="I147" s="142">
        <f t="shared" si="40"/>
        <v>0.53323672140782441</v>
      </c>
    </row>
    <row r="148" spans="2:10" x14ac:dyDescent="0.25">
      <c r="B148" s="1" t="s">
        <v>561</v>
      </c>
      <c r="C148" s="140">
        <v>20.027257919311523</v>
      </c>
      <c r="D148" s="140">
        <v>30.998999741999999</v>
      </c>
      <c r="E148" s="140">
        <f t="shared" si="44"/>
        <v>10.971741822688475</v>
      </c>
      <c r="F148" s="140">
        <f t="shared" si="42"/>
        <v>0.9748887462231437</v>
      </c>
      <c r="G148" s="141">
        <f t="shared" si="45"/>
        <v>0.50877907916027754</v>
      </c>
      <c r="I148" s="142">
        <f t="shared" si="40"/>
        <v>0.50822552122063358</v>
      </c>
    </row>
    <row r="149" spans="2:10" x14ac:dyDescent="0.25">
      <c r="B149" s="1" t="s">
        <v>562</v>
      </c>
      <c r="C149" s="140">
        <v>21.130857467651367</v>
      </c>
      <c r="D149" s="140">
        <v>32.103600118999999</v>
      </c>
      <c r="E149" s="140">
        <f t="shared" si="44"/>
        <v>10.972742651348632</v>
      </c>
      <c r="F149" s="140">
        <f t="shared" si="42"/>
        <v>0.97588957488330053</v>
      </c>
      <c r="G149" s="141">
        <f t="shared" si="45"/>
        <v>0.50842625053830792</v>
      </c>
      <c r="I149" s="142">
        <f t="shared" si="40"/>
        <v>0.50787307648057467</v>
      </c>
    </row>
    <row r="150" spans="2:10" x14ac:dyDescent="0.25">
      <c r="B150" s="138"/>
      <c r="C150" s="137"/>
      <c r="D150" s="137"/>
      <c r="E150" s="137"/>
      <c r="F150" s="137"/>
      <c r="G150" s="137"/>
      <c r="H150" s="137"/>
      <c r="I150" s="137"/>
      <c r="J150" s="137"/>
    </row>
    <row r="151" spans="2:10" x14ac:dyDescent="0.25">
      <c r="C151" s="137"/>
      <c r="D151" s="138" t="s">
        <v>6</v>
      </c>
      <c r="E151" s="140">
        <f>AVERAGE(E144:E146)</f>
        <v>9.9968530764653316</v>
      </c>
      <c r="F151" s="137"/>
      <c r="G151" s="137"/>
      <c r="H151" s="137"/>
      <c r="I151" s="137"/>
      <c r="J151" s="137"/>
    </row>
  </sheetData>
  <phoneticPr fontId="2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8B9AF-94A5-4F3D-BA73-31796D60C2A1}">
  <dimension ref="B2:E23"/>
  <sheetViews>
    <sheetView workbookViewId="0">
      <selection activeCell="C34" sqref="C34"/>
    </sheetView>
  </sheetViews>
  <sheetFormatPr defaultRowHeight="15" x14ac:dyDescent="0.25"/>
  <cols>
    <col min="3" max="3" width="17.28515625" customWidth="1"/>
    <col min="4" max="4" width="16.7109375" customWidth="1"/>
    <col min="5" max="5" width="13.85546875" customWidth="1"/>
  </cols>
  <sheetData>
    <row r="2" spans="2:5" x14ac:dyDescent="0.25">
      <c r="B2" s="165" t="s">
        <v>594</v>
      </c>
      <c r="C2" s="165"/>
      <c r="D2" s="165"/>
      <c r="E2" s="165"/>
    </row>
    <row r="3" spans="2:5" x14ac:dyDescent="0.25">
      <c r="B3" s="5" t="s">
        <v>16</v>
      </c>
      <c r="C3" s="5" t="s">
        <v>306</v>
      </c>
      <c r="D3" s="5" t="s">
        <v>307</v>
      </c>
      <c r="E3" s="5" t="s">
        <v>308</v>
      </c>
    </row>
    <row r="4" spans="2:5" x14ac:dyDescent="0.25">
      <c r="B4" s="123">
        <v>330.1</v>
      </c>
      <c r="C4" s="123">
        <v>622</v>
      </c>
      <c r="D4" s="123">
        <v>503.3</v>
      </c>
      <c r="E4" s="123">
        <v>247.1</v>
      </c>
    </row>
    <row r="5" spans="2:5" x14ac:dyDescent="0.25">
      <c r="B5" s="123">
        <v>327.5</v>
      </c>
      <c r="C5" s="123">
        <v>466.4</v>
      </c>
      <c r="D5" s="123">
        <v>421.4</v>
      </c>
      <c r="E5" s="123">
        <v>283.8</v>
      </c>
    </row>
    <row r="6" spans="2:5" x14ac:dyDescent="0.25">
      <c r="B6" s="123">
        <v>481.2</v>
      </c>
      <c r="C6" s="123">
        <v>206.8</v>
      </c>
      <c r="D6" s="123">
        <v>115.2</v>
      </c>
      <c r="E6" s="123">
        <v>211.5</v>
      </c>
    </row>
    <row r="7" spans="2:5" x14ac:dyDescent="0.25">
      <c r="B7" s="123">
        <v>237.1</v>
      </c>
      <c r="C7" s="123">
        <v>587.79999999999995</v>
      </c>
      <c r="D7" s="123">
        <v>282.5</v>
      </c>
      <c r="E7" s="123">
        <v>153.80000000000001</v>
      </c>
    </row>
    <row r="8" spans="2:5" x14ac:dyDescent="0.25">
      <c r="B8" s="123">
        <v>287</v>
      </c>
      <c r="C8" s="123">
        <v>280.89999999999998</v>
      </c>
      <c r="D8" s="123">
        <v>225.7</v>
      </c>
      <c r="E8" s="123">
        <v>445.8</v>
      </c>
    </row>
    <row r="9" spans="2:5" x14ac:dyDescent="0.25">
      <c r="B9" s="123">
        <v>321.2</v>
      </c>
      <c r="C9" s="123">
        <v>184.9</v>
      </c>
      <c r="D9" s="123">
        <v>374.5</v>
      </c>
      <c r="E9" s="123">
        <v>274</v>
      </c>
    </row>
    <row r="10" spans="2:5" x14ac:dyDescent="0.25">
      <c r="B10" s="123">
        <v>340.9</v>
      </c>
      <c r="C10" s="123">
        <v>197.5</v>
      </c>
      <c r="D10" s="123">
        <v>219.8</v>
      </c>
      <c r="E10" s="123">
        <v>211.4</v>
      </c>
    </row>
    <row r="11" spans="2:5" x14ac:dyDescent="0.25">
      <c r="B11" s="123">
        <v>271.60000000000002</v>
      </c>
      <c r="C11" s="123">
        <v>124</v>
      </c>
      <c r="D11" s="123">
        <v>63.6</v>
      </c>
      <c r="E11" s="123">
        <v>246</v>
      </c>
    </row>
    <row r="12" spans="2:5" x14ac:dyDescent="0.25">
      <c r="B12" s="123">
        <v>209.9</v>
      </c>
      <c r="C12" s="123">
        <v>59.8</v>
      </c>
      <c r="D12" s="123">
        <v>185.8</v>
      </c>
      <c r="E12" s="123">
        <v>73.599999999999994</v>
      </c>
    </row>
    <row r="13" spans="2:5" x14ac:dyDescent="0.25">
      <c r="B13" s="123">
        <v>399.1</v>
      </c>
      <c r="C13" s="123">
        <v>622.4</v>
      </c>
      <c r="D13" s="123">
        <v>257.2</v>
      </c>
      <c r="E13" s="123">
        <v>276.7</v>
      </c>
    </row>
    <row r="14" spans="2:5" x14ac:dyDescent="0.25">
      <c r="B14" s="123">
        <v>223.1</v>
      </c>
      <c r="C14" s="123">
        <v>177.9</v>
      </c>
      <c r="D14" s="123">
        <v>378.6</v>
      </c>
      <c r="E14" s="123">
        <v>7.5</v>
      </c>
    </row>
    <row r="15" spans="2:5" x14ac:dyDescent="0.25">
      <c r="B15" s="123">
        <v>469</v>
      </c>
      <c r="C15" s="123">
        <v>765.8</v>
      </c>
      <c r="D15" s="123">
        <v>353.1</v>
      </c>
      <c r="E15" s="123">
        <v>210.9</v>
      </c>
    </row>
    <row r="16" spans="2:5" x14ac:dyDescent="0.25">
      <c r="B16" s="123">
        <v>521.70000000000005</v>
      </c>
      <c r="C16" s="123">
        <v>505.1</v>
      </c>
      <c r="D16" s="123">
        <v>371.7</v>
      </c>
      <c r="E16" s="123">
        <v>82.1</v>
      </c>
    </row>
    <row r="17" spans="2:5" x14ac:dyDescent="0.25">
      <c r="B17" s="123">
        <v>284.60000000000002</v>
      </c>
      <c r="C17" s="123">
        <v>363.8</v>
      </c>
      <c r="D17" s="123">
        <v>260.10000000000002</v>
      </c>
      <c r="E17" s="123">
        <v>399.2</v>
      </c>
    </row>
    <row r="18" spans="2:5" x14ac:dyDescent="0.25">
      <c r="B18" s="123"/>
      <c r="C18" s="123">
        <v>665.8</v>
      </c>
      <c r="D18" s="123">
        <v>129.80000000000001</v>
      </c>
      <c r="E18" s="123">
        <v>95.3</v>
      </c>
    </row>
    <row r="19" spans="2:5" x14ac:dyDescent="0.25">
      <c r="B19" s="123">
        <v>511.4</v>
      </c>
      <c r="C19" s="123">
        <v>357.6</v>
      </c>
      <c r="D19" s="123">
        <v>227</v>
      </c>
      <c r="E19" s="123">
        <v>101</v>
      </c>
    </row>
    <row r="20" spans="2:5" x14ac:dyDescent="0.25">
      <c r="B20" s="123">
        <v>299.89999999999998</v>
      </c>
      <c r="C20" s="123">
        <v>412.8</v>
      </c>
      <c r="D20" s="123">
        <v>255.1</v>
      </c>
      <c r="E20" s="123">
        <v>235.8</v>
      </c>
    </row>
    <row r="21" spans="2:5" x14ac:dyDescent="0.25">
      <c r="B21" s="123">
        <v>472.4</v>
      </c>
      <c r="C21" s="123">
        <v>502.6</v>
      </c>
      <c r="D21" s="123">
        <v>394.7</v>
      </c>
      <c r="E21" s="123">
        <v>502.5</v>
      </c>
    </row>
    <row r="22" spans="2:5" x14ac:dyDescent="0.25">
      <c r="B22" s="123">
        <v>283.2</v>
      </c>
      <c r="C22" s="123">
        <v>360</v>
      </c>
      <c r="D22" s="123">
        <v>194.7</v>
      </c>
      <c r="E22" s="123">
        <v>346.4</v>
      </c>
    </row>
    <row r="23" spans="2:5" x14ac:dyDescent="0.25">
      <c r="B23" s="123">
        <v>553.29999999999995</v>
      </c>
      <c r="C23" s="123">
        <v>553.6</v>
      </c>
      <c r="D23" s="123">
        <v>618.9</v>
      </c>
      <c r="E23" s="123">
        <v>196.7</v>
      </c>
    </row>
  </sheetData>
  <mergeCells count="1">
    <mergeCell ref="B2:E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C08A-7D07-41CA-9C7E-29886756C796}">
  <dimension ref="B1:E22"/>
  <sheetViews>
    <sheetView workbookViewId="0">
      <selection activeCell="D35" sqref="D35"/>
    </sheetView>
  </sheetViews>
  <sheetFormatPr defaultRowHeight="15" x14ac:dyDescent="0.25"/>
  <cols>
    <col min="3" max="3" width="19.28515625" customWidth="1"/>
    <col min="4" max="4" width="16.42578125" customWidth="1"/>
    <col min="5" max="5" width="12.7109375" customWidth="1"/>
    <col min="10" max="10" width="24.7109375" customWidth="1"/>
    <col min="11" max="11" width="15.140625" customWidth="1"/>
    <col min="12" max="12" width="18" customWidth="1"/>
  </cols>
  <sheetData>
    <row r="1" spans="2:5" x14ac:dyDescent="0.25">
      <c r="B1" s="157" t="s">
        <v>593</v>
      </c>
      <c r="C1" s="157"/>
      <c r="D1" s="157"/>
      <c r="E1" s="157"/>
    </row>
    <row r="2" spans="2:5" x14ac:dyDescent="0.25">
      <c r="B2" s="5" t="s">
        <v>16</v>
      </c>
      <c r="C2" s="5" t="s">
        <v>306</v>
      </c>
      <c r="D2" s="5" t="s">
        <v>307</v>
      </c>
      <c r="E2" s="5" t="s">
        <v>308</v>
      </c>
    </row>
    <row r="3" spans="2:5" x14ac:dyDescent="0.25">
      <c r="B3" s="10">
        <v>9</v>
      </c>
      <c r="C3" s="10">
        <v>8.5</v>
      </c>
      <c r="D3" s="10">
        <v>9</v>
      </c>
      <c r="E3" s="10">
        <v>8.4</v>
      </c>
    </row>
    <row r="4" spans="2:5" x14ac:dyDescent="0.25">
      <c r="B4" s="10">
        <v>8</v>
      </c>
      <c r="C4" s="10">
        <v>8.6</v>
      </c>
      <c r="D4" s="10">
        <v>13.5</v>
      </c>
      <c r="E4" s="10">
        <v>8.1</v>
      </c>
    </row>
    <row r="5" spans="2:5" x14ac:dyDescent="0.25">
      <c r="B5" s="10">
        <v>9.1999999999999993</v>
      </c>
      <c r="C5" s="10">
        <v>7.4</v>
      </c>
      <c r="D5" s="10">
        <v>8.6</v>
      </c>
      <c r="E5" s="10">
        <v>6.9</v>
      </c>
    </row>
    <row r="6" spans="2:5" x14ac:dyDescent="0.25">
      <c r="B6" s="10">
        <v>7</v>
      </c>
      <c r="C6" s="10">
        <v>8.6999999999999993</v>
      </c>
      <c r="D6" s="10">
        <v>7.5</v>
      </c>
      <c r="E6" s="10">
        <v>7.5</v>
      </c>
    </row>
    <row r="7" spans="2:5" x14ac:dyDescent="0.25">
      <c r="B7" s="10">
        <v>7.5</v>
      </c>
      <c r="C7" s="10">
        <v>9.5</v>
      </c>
      <c r="D7" s="10">
        <v>9.5</v>
      </c>
      <c r="E7" s="10">
        <v>8.1</v>
      </c>
    </row>
    <row r="8" spans="2:5" x14ac:dyDescent="0.25">
      <c r="B8" s="10">
        <v>10</v>
      </c>
      <c r="C8" s="10">
        <v>8</v>
      </c>
      <c r="D8" s="10">
        <v>8.8000000000000007</v>
      </c>
      <c r="E8" s="10">
        <v>10.199999999999999</v>
      </c>
    </row>
    <row r="9" spans="2:5" x14ac:dyDescent="0.25">
      <c r="B9" s="10">
        <v>7.5</v>
      </c>
      <c r="C9" s="10">
        <v>7.6</v>
      </c>
      <c r="D9" s="10">
        <v>6.9</v>
      </c>
      <c r="E9" s="10">
        <v>7</v>
      </c>
    </row>
    <row r="10" spans="2:5" x14ac:dyDescent="0.25">
      <c r="B10" s="10">
        <v>8</v>
      </c>
      <c r="C10" s="10">
        <v>6</v>
      </c>
      <c r="D10" s="10">
        <v>6.5</v>
      </c>
      <c r="E10" s="10">
        <v>7.7</v>
      </c>
    </row>
    <row r="11" spans="2:5" x14ac:dyDescent="0.25">
      <c r="B11" s="10">
        <v>6.5</v>
      </c>
      <c r="C11" s="10">
        <v>6.5</v>
      </c>
      <c r="D11" s="10">
        <v>9</v>
      </c>
      <c r="E11" s="10">
        <v>6.5</v>
      </c>
    </row>
    <row r="12" spans="2:5" x14ac:dyDescent="0.25">
      <c r="B12" s="10">
        <v>8</v>
      </c>
      <c r="C12" s="10">
        <v>7.2</v>
      </c>
      <c r="D12" s="10">
        <v>7</v>
      </c>
      <c r="E12" s="10">
        <v>7.7</v>
      </c>
    </row>
    <row r="13" spans="2:5" x14ac:dyDescent="0.25">
      <c r="B13" s="10">
        <v>8</v>
      </c>
      <c r="C13" s="10">
        <v>6</v>
      </c>
      <c r="D13" s="10">
        <v>9.3000000000000007</v>
      </c>
      <c r="E13" s="10">
        <v>7.9</v>
      </c>
    </row>
    <row r="14" spans="2:5" x14ac:dyDescent="0.25">
      <c r="B14" s="10">
        <v>5.2</v>
      </c>
      <c r="C14" s="10">
        <v>10.4</v>
      </c>
      <c r="D14" s="10">
        <v>8.5</v>
      </c>
      <c r="E14" s="10">
        <v>8.9</v>
      </c>
    </row>
    <row r="15" spans="2:5" x14ac:dyDescent="0.25">
      <c r="B15" s="10">
        <v>5.6</v>
      </c>
      <c r="C15" s="10">
        <v>7.5</v>
      </c>
      <c r="D15" s="10">
        <v>8</v>
      </c>
      <c r="E15" s="10">
        <v>9.6999999999999993</v>
      </c>
    </row>
    <row r="16" spans="2:5" x14ac:dyDescent="0.25">
      <c r="B16" s="10">
        <v>4.4000000000000004</v>
      </c>
      <c r="C16" s="10">
        <v>6</v>
      </c>
      <c r="D16" s="10">
        <v>6.2</v>
      </c>
      <c r="E16" s="10">
        <v>10.5</v>
      </c>
    </row>
    <row r="17" spans="2:5" x14ac:dyDescent="0.25">
      <c r="B17" s="10">
        <v>5.6</v>
      </c>
      <c r="C17" s="10">
        <v>6.6</v>
      </c>
      <c r="D17" s="10">
        <v>10.3</v>
      </c>
      <c r="E17" s="10">
        <v>8.6</v>
      </c>
    </row>
    <row r="18" spans="2:5" x14ac:dyDescent="0.25">
      <c r="B18" s="10">
        <v>7</v>
      </c>
      <c r="C18" s="10">
        <v>7.8</v>
      </c>
      <c r="D18" s="10">
        <v>5</v>
      </c>
      <c r="E18" s="10">
        <v>7</v>
      </c>
    </row>
    <row r="19" spans="2:5" x14ac:dyDescent="0.25">
      <c r="B19" s="10">
        <v>11</v>
      </c>
      <c r="C19" s="10">
        <v>4.4000000000000004</v>
      </c>
      <c r="D19" s="10">
        <v>8.4</v>
      </c>
      <c r="E19" s="10">
        <v>7.5</v>
      </c>
    </row>
    <row r="20" spans="2:5" x14ac:dyDescent="0.25">
      <c r="B20" s="10"/>
      <c r="C20" s="10">
        <v>14</v>
      </c>
      <c r="D20" s="10">
        <v>6.5</v>
      </c>
      <c r="E20" s="10">
        <v>6.4</v>
      </c>
    </row>
    <row r="21" spans="2:5" x14ac:dyDescent="0.25">
      <c r="B21" s="10"/>
      <c r="C21" s="10">
        <v>9.5</v>
      </c>
      <c r="D21" s="10">
        <v>10.9</v>
      </c>
      <c r="E21" s="10">
        <v>9.9</v>
      </c>
    </row>
    <row r="22" spans="2:5" x14ac:dyDescent="0.25">
      <c r="B22" s="10"/>
      <c r="C22" s="10">
        <v>10.5</v>
      </c>
      <c r="D22" s="10"/>
      <c r="E22" s="10">
        <v>7.1</v>
      </c>
    </row>
  </sheetData>
  <mergeCells count="1">
    <mergeCell ref="B1:E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D2AB9-AC15-4852-BC05-BC602E725F7F}">
  <dimension ref="B2:E23"/>
  <sheetViews>
    <sheetView workbookViewId="0">
      <selection activeCell="E34" sqref="E34"/>
    </sheetView>
  </sheetViews>
  <sheetFormatPr defaultRowHeight="15" x14ac:dyDescent="0.25"/>
  <cols>
    <col min="2" max="2" width="15" customWidth="1"/>
    <col min="3" max="3" width="20" customWidth="1"/>
    <col min="4" max="4" width="17.28515625" customWidth="1"/>
    <col min="5" max="5" width="16.28515625" customWidth="1"/>
  </cols>
  <sheetData>
    <row r="2" spans="2:5" x14ac:dyDescent="0.25">
      <c r="B2" s="184" t="s">
        <v>592</v>
      </c>
      <c r="C2" s="184"/>
      <c r="D2" s="184"/>
      <c r="E2" s="184"/>
    </row>
    <row r="3" spans="2:5" x14ac:dyDescent="0.25">
      <c r="B3" s="5" t="s">
        <v>16</v>
      </c>
      <c r="C3" s="5" t="s">
        <v>306</v>
      </c>
      <c r="D3" s="5" t="s">
        <v>307</v>
      </c>
      <c r="E3" s="5" t="s">
        <v>308</v>
      </c>
    </row>
    <row r="4" spans="2:5" x14ac:dyDescent="0.25">
      <c r="B4" s="10">
        <v>2</v>
      </c>
      <c r="C4" s="10">
        <v>1</v>
      </c>
      <c r="D4" s="10">
        <v>2</v>
      </c>
      <c r="E4" s="10">
        <v>0.2</v>
      </c>
    </row>
    <row r="5" spans="2:5" x14ac:dyDescent="0.25">
      <c r="B5" s="10">
        <v>2</v>
      </c>
      <c r="C5" s="10">
        <v>0.26</v>
      </c>
      <c r="D5" s="10">
        <v>1</v>
      </c>
      <c r="E5" s="10">
        <v>0.2</v>
      </c>
    </row>
    <row r="6" spans="2:5" x14ac:dyDescent="0.25">
      <c r="B6" s="10">
        <v>0.24</v>
      </c>
      <c r="C6" s="10">
        <v>0.2</v>
      </c>
      <c r="D6" s="10">
        <v>0.28999999999999998</v>
      </c>
      <c r="E6" s="10">
        <v>0.2</v>
      </c>
    </row>
    <row r="7" spans="2:5" x14ac:dyDescent="0.25">
      <c r="B7" s="10">
        <v>1</v>
      </c>
      <c r="C7" s="10">
        <v>0.21</v>
      </c>
      <c r="D7" s="10">
        <v>1</v>
      </c>
      <c r="E7" s="10">
        <v>1</v>
      </c>
    </row>
    <row r="8" spans="2:5" x14ac:dyDescent="0.25">
      <c r="B8" s="10">
        <v>1</v>
      </c>
      <c r="C8" s="10">
        <v>1</v>
      </c>
      <c r="D8" s="10">
        <v>1</v>
      </c>
      <c r="E8" s="10">
        <v>0.2</v>
      </c>
    </row>
    <row r="9" spans="2:5" x14ac:dyDescent="0.25">
      <c r="B9" s="10">
        <v>2</v>
      </c>
      <c r="C9" s="10">
        <v>1</v>
      </c>
      <c r="D9" s="10">
        <v>0.2</v>
      </c>
      <c r="E9" s="10">
        <v>0.2</v>
      </c>
    </row>
    <row r="10" spans="2:5" x14ac:dyDescent="0.25">
      <c r="B10" s="10">
        <v>1</v>
      </c>
      <c r="C10" s="10">
        <v>0.2</v>
      </c>
      <c r="D10" s="10">
        <v>0.2</v>
      </c>
      <c r="E10" s="10">
        <v>1</v>
      </c>
    </row>
    <row r="11" spans="2:5" x14ac:dyDescent="0.25">
      <c r="B11" s="10">
        <v>1</v>
      </c>
      <c r="C11" s="10">
        <v>1</v>
      </c>
      <c r="D11" s="10">
        <v>1</v>
      </c>
      <c r="E11" s="10">
        <v>0.2</v>
      </c>
    </row>
    <row r="12" spans="2:5" x14ac:dyDescent="0.25">
      <c r="B12" s="10">
        <v>1</v>
      </c>
      <c r="C12" s="10">
        <v>1</v>
      </c>
      <c r="D12" s="10">
        <v>1</v>
      </c>
      <c r="E12" s="10">
        <v>1</v>
      </c>
    </row>
    <row r="13" spans="2:5" x14ac:dyDescent="0.25">
      <c r="B13" s="10">
        <v>2</v>
      </c>
      <c r="C13" s="10">
        <v>0.22</v>
      </c>
      <c r="D13" s="10">
        <v>1</v>
      </c>
      <c r="E13" s="10">
        <v>0.25</v>
      </c>
    </row>
    <row r="14" spans="2:5" x14ac:dyDescent="0.25">
      <c r="B14" s="10">
        <v>0.2</v>
      </c>
      <c r="C14" s="10">
        <v>1</v>
      </c>
      <c r="D14" s="10">
        <v>0.2</v>
      </c>
      <c r="E14" s="10">
        <v>0.24</v>
      </c>
    </row>
    <row r="15" spans="2:5" x14ac:dyDescent="0.25">
      <c r="B15" s="10">
        <v>0.4</v>
      </c>
      <c r="C15" s="10">
        <v>0.25</v>
      </c>
      <c r="D15" s="10">
        <v>1</v>
      </c>
      <c r="E15" s="10">
        <v>0.23</v>
      </c>
    </row>
    <row r="16" spans="2:5" x14ac:dyDescent="0.25">
      <c r="B16" s="10">
        <v>0.4</v>
      </c>
      <c r="C16" s="10">
        <v>1</v>
      </c>
      <c r="D16" s="10">
        <v>2</v>
      </c>
      <c r="E16" s="10">
        <v>0.23</v>
      </c>
    </row>
    <row r="17" spans="2:5" x14ac:dyDescent="0.25">
      <c r="B17" s="10">
        <v>0.4</v>
      </c>
      <c r="C17" s="10">
        <v>1.2</v>
      </c>
      <c r="D17" s="10">
        <v>0.4</v>
      </c>
      <c r="E17" s="10">
        <v>1</v>
      </c>
    </row>
    <row r="18" spans="2:5" x14ac:dyDescent="0.25">
      <c r="B18" s="10">
        <v>0.4</v>
      </c>
      <c r="C18" s="10">
        <v>0.4</v>
      </c>
      <c r="D18" s="10">
        <v>0.21</v>
      </c>
      <c r="E18" s="10">
        <v>0.24</v>
      </c>
    </row>
    <row r="19" spans="2:5" x14ac:dyDescent="0.25">
      <c r="B19" s="10">
        <v>1</v>
      </c>
      <c r="C19" s="10">
        <v>0.2</v>
      </c>
      <c r="D19" s="10">
        <v>0.4</v>
      </c>
      <c r="E19" s="10">
        <v>0.2</v>
      </c>
    </row>
    <row r="20" spans="2:5" x14ac:dyDescent="0.25">
      <c r="B20" s="10">
        <v>1</v>
      </c>
      <c r="C20" s="10">
        <v>0.4</v>
      </c>
      <c r="D20" s="10">
        <v>0.2</v>
      </c>
      <c r="E20" s="10">
        <v>0.2</v>
      </c>
    </row>
    <row r="21" spans="2:5" x14ac:dyDescent="0.25">
      <c r="B21" s="10"/>
      <c r="C21" s="10">
        <v>1</v>
      </c>
      <c r="D21" s="10">
        <v>1</v>
      </c>
      <c r="E21" s="10">
        <v>0.4</v>
      </c>
    </row>
    <row r="22" spans="2:5" x14ac:dyDescent="0.25">
      <c r="B22" s="10"/>
      <c r="C22" s="10">
        <v>0.34</v>
      </c>
      <c r="D22" s="10">
        <v>0.24</v>
      </c>
      <c r="E22" s="10">
        <v>0.2</v>
      </c>
    </row>
    <row r="23" spans="2:5" x14ac:dyDescent="0.25">
      <c r="B23" s="10"/>
      <c r="C23" s="10">
        <v>1</v>
      </c>
      <c r="D23" s="10"/>
      <c r="E23" s="10">
        <v>0.2</v>
      </c>
    </row>
  </sheetData>
  <mergeCells count="1">
    <mergeCell ref="B2:E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E25F-3A4E-48BA-8C15-C4AF938D071A}">
  <dimension ref="B3:J21"/>
  <sheetViews>
    <sheetView workbookViewId="0">
      <selection activeCell="J35" sqref="J35"/>
    </sheetView>
  </sheetViews>
  <sheetFormatPr defaultRowHeight="15" x14ac:dyDescent="0.25"/>
  <cols>
    <col min="10" max="10" width="12.28515625" customWidth="1"/>
  </cols>
  <sheetData>
    <row r="3" spans="2:10" x14ac:dyDescent="0.25">
      <c r="B3" s="157" t="s">
        <v>563</v>
      </c>
      <c r="C3" s="157"/>
      <c r="D3" s="157"/>
      <c r="E3" s="157"/>
      <c r="F3" s="157"/>
      <c r="G3" s="157"/>
      <c r="H3" s="157"/>
      <c r="I3" s="157"/>
      <c r="J3" s="157"/>
    </row>
    <row r="4" spans="2:10" x14ac:dyDescent="0.25">
      <c r="B4" s="5" t="s">
        <v>564</v>
      </c>
      <c r="C4" s="5" t="s">
        <v>400</v>
      </c>
      <c r="D4" s="5" t="s">
        <v>401</v>
      </c>
      <c r="E4" s="5" t="s">
        <v>402</v>
      </c>
      <c r="F4" s="5" t="s">
        <v>565</v>
      </c>
      <c r="G4" s="5" t="s">
        <v>403</v>
      </c>
      <c r="H4" s="5" t="s">
        <v>404</v>
      </c>
      <c r="I4" s="5" t="s">
        <v>405</v>
      </c>
      <c r="J4" s="5" t="s">
        <v>566</v>
      </c>
    </row>
    <row r="5" spans="2:10" x14ac:dyDescent="0.25">
      <c r="B5" s="6">
        <v>55.285363070000002</v>
      </c>
      <c r="C5" s="6">
        <v>47.412884069999997</v>
      </c>
      <c r="D5" s="6">
        <v>43.77885002</v>
      </c>
      <c r="E5" s="6">
        <v>40.379148430000001</v>
      </c>
      <c r="F5" s="6">
        <v>50.519259429999998</v>
      </c>
      <c r="G5" s="6">
        <v>47.412884069999997</v>
      </c>
      <c r="H5" s="6">
        <v>46.142033529999999</v>
      </c>
      <c r="I5" s="6">
        <v>48</v>
      </c>
      <c r="J5" s="6">
        <v>52</v>
      </c>
    </row>
    <row r="6" spans="2:10" x14ac:dyDescent="0.25">
      <c r="B6" s="6">
        <v>62.903597949999998</v>
      </c>
      <c r="C6" s="6">
        <v>56.665432269999997</v>
      </c>
      <c r="D6" s="6">
        <v>100.86324279999999</v>
      </c>
      <c r="E6" s="6">
        <v>53.9546639</v>
      </c>
      <c r="F6" s="6">
        <v>47.086574259999999</v>
      </c>
      <c r="G6" s="6">
        <v>57.141530420000002</v>
      </c>
      <c r="H6" s="6">
        <v>53</v>
      </c>
      <c r="I6" s="6">
        <v>44</v>
      </c>
      <c r="J6" s="6">
        <v>67</v>
      </c>
    </row>
    <row r="7" spans="2:10" x14ac:dyDescent="0.25">
      <c r="B7" s="6">
        <v>34</v>
      </c>
      <c r="C7" s="6">
        <v>32</v>
      </c>
      <c r="D7" s="6">
        <v>37</v>
      </c>
      <c r="E7" s="6">
        <v>30</v>
      </c>
      <c r="F7" s="6"/>
      <c r="G7" s="6"/>
      <c r="H7" s="6"/>
      <c r="I7" s="6"/>
      <c r="J7" s="6"/>
    </row>
    <row r="8" spans="2:10" x14ac:dyDescent="0.25">
      <c r="B8" s="6">
        <v>116.1035385</v>
      </c>
      <c r="C8" s="6">
        <v>91.742274429999995</v>
      </c>
      <c r="D8" s="6">
        <v>105</v>
      </c>
      <c r="E8" s="6"/>
      <c r="F8" s="6">
        <v>100</v>
      </c>
      <c r="G8" s="6">
        <v>96</v>
      </c>
      <c r="H8" s="6">
        <v>94</v>
      </c>
      <c r="I8" s="6">
        <v>113</v>
      </c>
      <c r="J8" s="6">
        <v>113</v>
      </c>
    </row>
    <row r="9" spans="2:10" x14ac:dyDescent="0.25">
      <c r="B9" s="6">
        <v>60</v>
      </c>
      <c r="C9" s="6">
        <v>69</v>
      </c>
      <c r="D9" s="6">
        <v>65</v>
      </c>
      <c r="E9" s="6">
        <v>66</v>
      </c>
      <c r="F9" s="6">
        <v>74</v>
      </c>
      <c r="G9" s="6">
        <v>74</v>
      </c>
      <c r="H9" s="6">
        <v>62</v>
      </c>
      <c r="I9" s="6">
        <v>63</v>
      </c>
      <c r="J9" s="6">
        <v>67.3</v>
      </c>
    </row>
    <row r="10" spans="2:10" x14ac:dyDescent="0.25">
      <c r="B10" s="6">
        <v>41</v>
      </c>
      <c r="C10" s="6"/>
      <c r="D10" s="6">
        <v>41</v>
      </c>
      <c r="E10" s="6">
        <v>41</v>
      </c>
      <c r="F10" s="6">
        <v>37</v>
      </c>
      <c r="G10" s="6">
        <v>39</v>
      </c>
      <c r="H10" s="6">
        <v>43</v>
      </c>
      <c r="I10" s="6">
        <v>38</v>
      </c>
      <c r="J10" s="6"/>
    </row>
    <row r="11" spans="2:10" x14ac:dyDescent="0.25">
      <c r="B11" s="6">
        <v>55.030900879999997</v>
      </c>
      <c r="C11" s="6">
        <v>46.191428270000003</v>
      </c>
      <c r="D11" s="6">
        <v>44.966891439999998</v>
      </c>
      <c r="E11" s="6"/>
      <c r="F11" s="6"/>
      <c r="G11" s="6"/>
      <c r="H11" s="6"/>
      <c r="I11" s="6"/>
      <c r="J11" s="6"/>
    </row>
    <row r="12" spans="2:10" x14ac:dyDescent="0.25">
      <c r="B12" s="6">
        <v>48.417509889999998</v>
      </c>
      <c r="C12" s="6">
        <v>41.124442629999997</v>
      </c>
      <c r="D12" s="6">
        <v>41.124442629999997</v>
      </c>
      <c r="E12" s="6">
        <v>35.415634779999998</v>
      </c>
      <c r="F12" s="6"/>
      <c r="G12" s="6"/>
      <c r="H12" s="6"/>
      <c r="I12" s="6"/>
      <c r="J12" s="6"/>
    </row>
    <row r="13" spans="2:10" x14ac:dyDescent="0.25">
      <c r="B13" s="6">
        <v>45</v>
      </c>
      <c r="C13" s="6">
        <v>42</v>
      </c>
      <c r="D13" s="6">
        <v>38</v>
      </c>
      <c r="E13" s="6">
        <v>36</v>
      </c>
      <c r="F13" s="6">
        <v>40</v>
      </c>
      <c r="G13" s="6"/>
      <c r="H13" s="6"/>
      <c r="I13" s="6"/>
      <c r="J13" s="6">
        <v>38</v>
      </c>
    </row>
    <row r="14" spans="2:10" x14ac:dyDescent="0.25">
      <c r="B14" s="6">
        <v>95.25630323</v>
      </c>
      <c r="C14" s="6">
        <v>87.548078520000004</v>
      </c>
      <c r="D14" s="6">
        <v>99.591745130000007</v>
      </c>
      <c r="E14" s="6">
        <v>109.4354398</v>
      </c>
      <c r="F14" s="6">
        <v>98.107170159999995</v>
      </c>
      <c r="G14" s="6">
        <v>89.987121599999995</v>
      </c>
      <c r="H14" s="6">
        <v>117.04034849999999</v>
      </c>
      <c r="I14" s="6">
        <v>92.553246169999994</v>
      </c>
      <c r="J14" s="6">
        <v>83.4</v>
      </c>
    </row>
    <row r="15" spans="2:10" x14ac:dyDescent="0.25">
      <c r="B15" s="6">
        <v>83.786786509999999</v>
      </c>
      <c r="C15" s="6">
        <v>32.721439089999997</v>
      </c>
      <c r="D15" s="6">
        <v>58.137898100000001</v>
      </c>
      <c r="E15" s="6">
        <v>62.723992610000003</v>
      </c>
      <c r="F15" s="6">
        <v>74.187620260000003</v>
      </c>
      <c r="G15" s="6">
        <v>62.723992610000003</v>
      </c>
      <c r="H15" s="6">
        <v>66.423661339999995</v>
      </c>
      <c r="I15" s="6">
        <v>59.3842365</v>
      </c>
      <c r="J15" s="6">
        <v>67.25</v>
      </c>
    </row>
    <row r="16" spans="2:10" x14ac:dyDescent="0.25">
      <c r="B16" s="6">
        <v>95.103327190000002</v>
      </c>
      <c r="C16" s="6">
        <v>73.714699390000007</v>
      </c>
      <c r="D16" s="6">
        <v>113.45681</v>
      </c>
      <c r="E16" s="6">
        <v>79.4406015</v>
      </c>
      <c r="F16" s="6">
        <v>80.474486470000002</v>
      </c>
      <c r="G16" s="6">
        <v>76.479857859999996</v>
      </c>
      <c r="H16" s="6">
        <v>79.4406015</v>
      </c>
      <c r="I16" s="6">
        <v>75.537354949999994</v>
      </c>
      <c r="J16" s="6">
        <v>85.75</v>
      </c>
    </row>
    <row r="17" spans="2:10" x14ac:dyDescent="0.25">
      <c r="B17" s="6">
        <v>78.898514509999998</v>
      </c>
      <c r="C17" s="6">
        <v>70.153901970000007</v>
      </c>
      <c r="D17" s="6">
        <v>67.868096800000004</v>
      </c>
      <c r="E17" s="6">
        <v>63.683136519999998</v>
      </c>
      <c r="F17" s="6">
        <v>59</v>
      </c>
      <c r="G17" s="6">
        <v>61</v>
      </c>
      <c r="H17" s="6">
        <v>56</v>
      </c>
      <c r="I17" s="6">
        <v>68</v>
      </c>
      <c r="J17" s="6">
        <v>56</v>
      </c>
    </row>
    <row r="18" spans="2:10" x14ac:dyDescent="0.25">
      <c r="B18" s="6">
        <v>77</v>
      </c>
      <c r="C18" s="6">
        <v>76</v>
      </c>
      <c r="D18" s="6">
        <v>69</v>
      </c>
      <c r="E18" s="6">
        <v>81</v>
      </c>
      <c r="F18" s="6">
        <v>65</v>
      </c>
      <c r="G18" s="6">
        <v>76</v>
      </c>
      <c r="H18" s="6">
        <v>92</v>
      </c>
      <c r="I18" s="6">
        <v>77</v>
      </c>
      <c r="J18" s="6">
        <v>82.25</v>
      </c>
    </row>
    <row r="19" spans="2:10" x14ac:dyDescent="0.25">
      <c r="B19" s="6">
        <v>38</v>
      </c>
      <c r="C19" s="6"/>
      <c r="D19" s="6">
        <v>37</v>
      </c>
      <c r="E19" s="6">
        <v>37</v>
      </c>
      <c r="F19" s="6">
        <v>27</v>
      </c>
      <c r="G19" s="6">
        <v>27</v>
      </c>
      <c r="H19" s="6">
        <v>25</v>
      </c>
      <c r="I19" s="6">
        <v>31</v>
      </c>
      <c r="J19" s="6">
        <v>27.67</v>
      </c>
    </row>
    <row r="20" spans="2:10" x14ac:dyDescent="0.25">
      <c r="B20" s="6">
        <v>80</v>
      </c>
      <c r="C20" s="6">
        <v>65</v>
      </c>
      <c r="D20" s="6">
        <v>74</v>
      </c>
      <c r="E20" s="6">
        <v>63</v>
      </c>
      <c r="F20" s="6">
        <v>74</v>
      </c>
      <c r="G20" s="6">
        <v>68</v>
      </c>
      <c r="H20" s="6">
        <v>75</v>
      </c>
      <c r="I20" s="6"/>
      <c r="J20" s="6">
        <v>82</v>
      </c>
    </row>
    <row r="21" spans="2:10" x14ac:dyDescent="0.25">
      <c r="B21" s="6">
        <v>59</v>
      </c>
      <c r="C21" s="6">
        <v>53</v>
      </c>
      <c r="D21" s="6">
        <v>45</v>
      </c>
      <c r="E21" s="6">
        <v>49</v>
      </c>
      <c r="F21" s="6">
        <v>47</v>
      </c>
      <c r="G21" s="6">
        <v>53</v>
      </c>
      <c r="H21" s="6"/>
      <c r="I21" s="6">
        <v>48</v>
      </c>
      <c r="J21" s="6">
        <v>52</v>
      </c>
    </row>
  </sheetData>
  <mergeCells count="1">
    <mergeCell ref="B3:J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C998-C3C1-491A-82D4-570FE3B6B22C}">
  <dimension ref="B4:AX13"/>
  <sheetViews>
    <sheetView workbookViewId="0">
      <selection activeCell="M34" sqref="M34"/>
    </sheetView>
  </sheetViews>
  <sheetFormatPr defaultRowHeight="15" x14ac:dyDescent="0.25"/>
  <sheetData>
    <row r="4" spans="2:50" x14ac:dyDescent="0.25">
      <c r="C4" s="157" t="s">
        <v>567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 t="s">
        <v>568</v>
      </c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</row>
    <row r="5" spans="2:50" s="1" customFormat="1" x14ac:dyDescent="0.25">
      <c r="B5" s="5" t="s">
        <v>569</v>
      </c>
      <c r="C5" s="158" t="s">
        <v>570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 t="s">
        <v>571</v>
      </c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 t="s">
        <v>572</v>
      </c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</row>
    <row r="6" spans="2:50" x14ac:dyDescent="0.25">
      <c r="B6" s="8" t="s">
        <v>399</v>
      </c>
      <c r="C6" s="6">
        <v>25</v>
      </c>
      <c r="D6" s="6">
        <v>22</v>
      </c>
      <c r="E6" s="6">
        <v>26</v>
      </c>
      <c r="F6" s="6">
        <v>21</v>
      </c>
      <c r="G6" s="6">
        <v>18</v>
      </c>
      <c r="H6" s="6">
        <v>23</v>
      </c>
      <c r="I6" s="6">
        <v>21</v>
      </c>
      <c r="J6" s="6">
        <v>14</v>
      </c>
      <c r="K6" s="6">
        <v>28</v>
      </c>
      <c r="L6" s="6">
        <v>21</v>
      </c>
      <c r="M6" s="6">
        <v>17</v>
      </c>
      <c r="N6" s="6">
        <v>29</v>
      </c>
      <c r="O6" s="6">
        <v>19</v>
      </c>
      <c r="P6" s="6">
        <v>15</v>
      </c>
      <c r="Q6" s="6"/>
      <c r="R6" s="6"/>
      <c r="S6" s="6">
        <v>18</v>
      </c>
      <c r="T6" s="6">
        <v>24</v>
      </c>
      <c r="U6" s="6">
        <v>23</v>
      </c>
      <c r="V6" s="6">
        <v>20</v>
      </c>
      <c r="W6" s="6">
        <v>19</v>
      </c>
      <c r="X6" s="6">
        <v>29</v>
      </c>
      <c r="Y6" s="6">
        <v>21</v>
      </c>
      <c r="Z6" s="6">
        <v>21</v>
      </c>
      <c r="AA6" s="6">
        <v>23</v>
      </c>
      <c r="AB6" s="6">
        <v>28</v>
      </c>
      <c r="AC6" s="6">
        <v>14</v>
      </c>
      <c r="AD6" s="6">
        <v>40</v>
      </c>
      <c r="AE6" s="6">
        <v>13</v>
      </c>
      <c r="AF6" s="6">
        <v>16</v>
      </c>
      <c r="AG6" s="6"/>
      <c r="AH6" s="6"/>
      <c r="AI6" s="6">
        <v>0.3</v>
      </c>
      <c r="AJ6" s="6">
        <v>0.3</v>
      </c>
      <c r="AK6" s="6">
        <v>0.4</v>
      </c>
      <c r="AL6" s="6">
        <v>0.1</v>
      </c>
      <c r="AM6" s="6">
        <v>0.8</v>
      </c>
      <c r="AN6" s="6">
        <v>0.4</v>
      </c>
      <c r="AO6" s="6">
        <v>0.5</v>
      </c>
      <c r="AP6" s="6">
        <v>0.3</v>
      </c>
      <c r="AQ6" s="6">
        <v>0.5</v>
      </c>
      <c r="AR6" s="6">
        <v>0.3</v>
      </c>
      <c r="AS6" s="6">
        <v>0.3</v>
      </c>
      <c r="AT6" s="6">
        <v>0.4</v>
      </c>
      <c r="AU6" s="6">
        <v>0.4</v>
      </c>
      <c r="AV6" s="6">
        <v>0.3</v>
      </c>
      <c r="AW6" s="6"/>
      <c r="AX6" s="6"/>
    </row>
    <row r="7" spans="2:50" x14ac:dyDescent="0.25">
      <c r="B7" s="8" t="s">
        <v>400</v>
      </c>
      <c r="C7" s="6">
        <v>35</v>
      </c>
      <c r="D7" s="6">
        <v>22</v>
      </c>
      <c r="E7" s="6">
        <v>26</v>
      </c>
      <c r="F7" s="6">
        <v>19</v>
      </c>
      <c r="G7" s="6">
        <v>17</v>
      </c>
      <c r="H7" s="6"/>
      <c r="I7" s="6">
        <v>21</v>
      </c>
      <c r="J7" s="6">
        <v>16</v>
      </c>
      <c r="K7" s="6">
        <v>23</v>
      </c>
      <c r="L7" s="6">
        <v>20</v>
      </c>
      <c r="M7" s="6">
        <v>20</v>
      </c>
      <c r="N7" s="6"/>
      <c r="O7" s="6">
        <v>22</v>
      </c>
      <c r="P7" s="6">
        <v>12</v>
      </c>
      <c r="Q7" s="6"/>
      <c r="R7" s="6"/>
      <c r="S7" s="6">
        <v>19</v>
      </c>
      <c r="T7" s="6">
        <v>18</v>
      </c>
      <c r="U7" s="6">
        <v>22</v>
      </c>
      <c r="V7" s="6">
        <v>16</v>
      </c>
      <c r="W7" s="6">
        <v>13</v>
      </c>
      <c r="X7" s="6"/>
      <c r="Y7" s="6">
        <v>18</v>
      </c>
      <c r="Z7" s="6">
        <v>17</v>
      </c>
      <c r="AA7" s="6">
        <v>20</v>
      </c>
      <c r="AB7" s="6">
        <v>15</v>
      </c>
      <c r="AC7" s="6">
        <v>14</v>
      </c>
      <c r="AD7" s="6"/>
      <c r="AE7" s="6">
        <v>11</v>
      </c>
      <c r="AF7" s="6">
        <v>14</v>
      </c>
      <c r="AG7" s="6"/>
      <c r="AH7" s="6"/>
      <c r="AI7" s="6">
        <v>0.3</v>
      </c>
      <c r="AJ7" s="6">
        <v>0.4</v>
      </c>
      <c r="AK7" s="6">
        <v>0.3</v>
      </c>
      <c r="AL7" s="6">
        <v>0.1</v>
      </c>
      <c r="AM7" s="6">
        <v>0.4</v>
      </c>
      <c r="AN7" s="6"/>
      <c r="AO7" s="6">
        <v>0.2</v>
      </c>
      <c r="AP7" s="6">
        <v>0.3</v>
      </c>
      <c r="AQ7" s="6">
        <v>0.4</v>
      </c>
      <c r="AR7" s="6">
        <v>0.3</v>
      </c>
      <c r="AS7" s="6"/>
      <c r="AT7" s="6"/>
      <c r="AU7" s="6">
        <v>0.3</v>
      </c>
      <c r="AV7" s="6">
        <v>0.1</v>
      </c>
      <c r="AW7" s="6"/>
      <c r="AX7" s="6"/>
    </row>
    <row r="8" spans="2:50" x14ac:dyDescent="0.25">
      <c r="B8" s="8" t="s">
        <v>401</v>
      </c>
      <c r="C8" s="6">
        <v>46</v>
      </c>
      <c r="D8" s="6">
        <v>24</v>
      </c>
      <c r="E8" s="6"/>
      <c r="F8" s="6">
        <v>19</v>
      </c>
      <c r="G8" s="6">
        <v>16</v>
      </c>
      <c r="H8" s="6">
        <v>13</v>
      </c>
      <c r="I8" s="6">
        <v>23</v>
      </c>
      <c r="J8" s="6">
        <v>18</v>
      </c>
      <c r="K8" s="6"/>
      <c r="L8" s="6">
        <v>20</v>
      </c>
      <c r="M8" s="6">
        <v>18</v>
      </c>
      <c r="N8" s="6"/>
      <c r="O8" s="6">
        <v>23</v>
      </c>
      <c r="P8" s="6">
        <v>15</v>
      </c>
      <c r="Q8" s="6"/>
      <c r="R8" s="6"/>
      <c r="S8" s="6">
        <v>50</v>
      </c>
      <c r="T8" s="6">
        <v>18</v>
      </c>
      <c r="U8" s="6"/>
      <c r="V8" s="6">
        <v>16</v>
      </c>
      <c r="W8" s="6">
        <v>19</v>
      </c>
      <c r="X8" s="6">
        <v>23</v>
      </c>
      <c r="Y8" s="6">
        <v>23</v>
      </c>
      <c r="Z8" s="6">
        <v>18</v>
      </c>
      <c r="AA8" s="6"/>
      <c r="AB8" s="6">
        <v>17</v>
      </c>
      <c r="AC8" s="6">
        <v>13</v>
      </c>
      <c r="AD8" s="6"/>
      <c r="AE8" s="6">
        <v>14</v>
      </c>
      <c r="AF8" s="6">
        <v>30</v>
      </c>
      <c r="AG8" s="6"/>
      <c r="AH8" s="6"/>
      <c r="AI8" s="6">
        <v>0.4</v>
      </c>
      <c r="AJ8" s="6">
        <v>0.4</v>
      </c>
      <c r="AK8" s="6"/>
      <c r="AL8" s="6">
        <v>0.1</v>
      </c>
      <c r="AM8" s="6">
        <v>0.5</v>
      </c>
      <c r="AN8" s="6">
        <v>0.3</v>
      </c>
      <c r="AO8" s="6">
        <v>0.2</v>
      </c>
      <c r="AP8" s="6">
        <v>0.2</v>
      </c>
      <c r="AQ8" s="6"/>
      <c r="AR8" s="6">
        <v>0.3</v>
      </c>
      <c r="AS8" s="6">
        <v>0.3</v>
      </c>
      <c r="AT8" s="6"/>
      <c r="AU8" s="6">
        <v>0.3</v>
      </c>
      <c r="AV8" s="6">
        <v>0.1</v>
      </c>
      <c r="AW8" s="6"/>
      <c r="AX8" s="6"/>
    </row>
    <row r="9" spans="2:50" x14ac:dyDescent="0.25">
      <c r="B9" s="8" t="s">
        <v>402</v>
      </c>
      <c r="C9" s="6">
        <v>28</v>
      </c>
      <c r="D9" s="6">
        <v>30</v>
      </c>
      <c r="E9" s="6">
        <v>24</v>
      </c>
      <c r="F9" s="6"/>
      <c r="G9" s="6">
        <v>14</v>
      </c>
      <c r="H9" s="6">
        <v>16</v>
      </c>
      <c r="I9" s="6"/>
      <c r="J9" s="6">
        <v>19</v>
      </c>
      <c r="K9" s="6">
        <v>26</v>
      </c>
      <c r="L9" s="6">
        <v>22</v>
      </c>
      <c r="M9" s="6">
        <v>20</v>
      </c>
      <c r="N9" s="6"/>
      <c r="O9" s="6">
        <v>23</v>
      </c>
      <c r="P9" s="6">
        <v>30</v>
      </c>
      <c r="Q9" s="6"/>
      <c r="R9" s="6"/>
      <c r="S9" s="6">
        <v>19</v>
      </c>
      <c r="T9" s="6">
        <v>15</v>
      </c>
      <c r="U9" s="6">
        <v>21</v>
      </c>
      <c r="V9" s="6"/>
      <c r="W9" s="6">
        <v>16</v>
      </c>
      <c r="X9" s="6">
        <v>23</v>
      </c>
      <c r="Y9" s="6"/>
      <c r="Z9" s="6">
        <v>14</v>
      </c>
      <c r="AA9" s="6">
        <v>18</v>
      </c>
      <c r="AB9" s="6">
        <v>20</v>
      </c>
      <c r="AC9" s="6">
        <v>14</v>
      </c>
      <c r="AD9" s="6"/>
      <c r="AE9" s="6">
        <v>13</v>
      </c>
      <c r="AF9" s="6">
        <v>36</v>
      </c>
      <c r="AG9" s="6"/>
      <c r="AH9" s="6"/>
      <c r="AI9" s="6">
        <v>0.4</v>
      </c>
      <c r="AJ9" s="6">
        <v>0.5</v>
      </c>
      <c r="AK9" s="6">
        <v>0.2</v>
      </c>
      <c r="AL9" s="6"/>
      <c r="AM9" s="6">
        <v>0.2</v>
      </c>
      <c r="AN9" s="6">
        <v>0.2</v>
      </c>
      <c r="AO9" s="6"/>
      <c r="AP9" s="6">
        <v>0.3</v>
      </c>
      <c r="AQ9" s="6">
        <v>0.3</v>
      </c>
      <c r="AR9" s="6">
        <v>0.3</v>
      </c>
      <c r="AS9" s="6">
        <v>0.2</v>
      </c>
      <c r="AT9" s="6"/>
      <c r="AU9" s="6">
        <v>0.4</v>
      </c>
      <c r="AV9" s="6">
        <v>0.2</v>
      </c>
      <c r="AW9" s="6"/>
      <c r="AX9" s="6"/>
    </row>
    <row r="10" spans="2:50" x14ac:dyDescent="0.25">
      <c r="B10" s="8" t="s">
        <v>565</v>
      </c>
      <c r="C10" s="6">
        <v>27</v>
      </c>
      <c r="D10" s="6">
        <v>28</v>
      </c>
      <c r="E10" s="6">
        <v>54</v>
      </c>
      <c r="F10" s="6">
        <v>19</v>
      </c>
      <c r="G10" s="6">
        <v>15</v>
      </c>
      <c r="H10" s="6">
        <v>17</v>
      </c>
      <c r="I10" s="6"/>
      <c r="J10" s="6">
        <v>22</v>
      </c>
      <c r="K10" s="6">
        <v>28</v>
      </c>
      <c r="L10" s="6">
        <v>22</v>
      </c>
      <c r="M10" s="6">
        <v>18</v>
      </c>
      <c r="N10" s="6">
        <v>17</v>
      </c>
      <c r="O10" s="6">
        <v>23</v>
      </c>
      <c r="P10" s="6">
        <v>23</v>
      </c>
      <c r="Q10" s="6"/>
      <c r="R10" s="6"/>
      <c r="S10" s="6">
        <v>18</v>
      </c>
      <c r="T10" s="6">
        <v>32</v>
      </c>
      <c r="U10" s="6">
        <v>87</v>
      </c>
      <c r="V10" s="6">
        <v>15</v>
      </c>
      <c r="W10" s="6">
        <v>17</v>
      </c>
      <c r="X10" s="6">
        <v>21</v>
      </c>
      <c r="Y10" s="6"/>
      <c r="Z10" s="6">
        <v>18</v>
      </c>
      <c r="AA10" s="6">
        <v>17</v>
      </c>
      <c r="AB10" s="6">
        <v>21</v>
      </c>
      <c r="AC10" s="6">
        <v>14</v>
      </c>
      <c r="AD10" s="6">
        <v>16</v>
      </c>
      <c r="AE10" s="6">
        <v>17</v>
      </c>
      <c r="AF10" s="6">
        <v>45</v>
      </c>
      <c r="AG10" s="6"/>
      <c r="AH10" s="6"/>
      <c r="AI10" s="6">
        <v>0.4</v>
      </c>
      <c r="AJ10" s="6">
        <v>0.3</v>
      </c>
      <c r="AK10" s="6">
        <v>0.3</v>
      </c>
      <c r="AL10" s="6">
        <v>0.1</v>
      </c>
      <c r="AM10" s="6">
        <v>0.4</v>
      </c>
      <c r="AN10" s="6">
        <v>0.4</v>
      </c>
      <c r="AO10" s="6"/>
      <c r="AP10" s="6">
        <v>0.4</v>
      </c>
      <c r="AQ10" s="6">
        <v>0.2</v>
      </c>
      <c r="AR10" s="6">
        <v>0.4</v>
      </c>
      <c r="AS10" s="6">
        <v>0.4</v>
      </c>
      <c r="AT10" s="6">
        <v>0.2</v>
      </c>
      <c r="AU10" s="6">
        <v>0.4</v>
      </c>
      <c r="AV10" s="6">
        <v>0.2</v>
      </c>
      <c r="AW10" s="6"/>
      <c r="AX10" s="6"/>
    </row>
    <row r="11" spans="2:50" x14ac:dyDescent="0.25">
      <c r="B11" s="8" t="s">
        <v>403</v>
      </c>
      <c r="C11" s="6"/>
      <c r="D11" s="6">
        <v>18</v>
      </c>
      <c r="E11" s="6">
        <v>30</v>
      </c>
      <c r="F11" s="6">
        <v>24</v>
      </c>
      <c r="G11" s="6">
        <v>21</v>
      </c>
      <c r="H11" s="6"/>
      <c r="I11" s="6">
        <v>24</v>
      </c>
      <c r="J11" s="6">
        <v>15</v>
      </c>
      <c r="K11" s="6">
        <v>23</v>
      </c>
      <c r="L11" s="6">
        <v>26</v>
      </c>
      <c r="M11" s="6">
        <v>16</v>
      </c>
      <c r="N11" s="6">
        <v>23</v>
      </c>
      <c r="O11" s="6">
        <v>20</v>
      </c>
      <c r="P11" s="6">
        <v>17</v>
      </c>
      <c r="Q11" s="6"/>
      <c r="R11" s="6"/>
      <c r="S11" s="6"/>
      <c r="T11" s="6">
        <v>16</v>
      </c>
      <c r="U11" s="6">
        <v>43</v>
      </c>
      <c r="V11" s="6">
        <v>18</v>
      </c>
      <c r="W11" s="6">
        <v>18</v>
      </c>
      <c r="X11" s="6"/>
      <c r="Y11" s="6">
        <v>25</v>
      </c>
      <c r="Z11" s="6">
        <v>10</v>
      </c>
      <c r="AA11" s="6">
        <v>15</v>
      </c>
      <c r="AB11" s="6">
        <v>19</v>
      </c>
      <c r="AC11" s="6">
        <v>14</v>
      </c>
      <c r="AD11" s="6">
        <v>20</v>
      </c>
      <c r="AE11" s="6">
        <v>15</v>
      </c>
      <c r="AF11" s="6">
        <v>25</v>
      </c>
      <c r="AG11" s="6"/>
      <c r="AH11" s="6"/>
      <c r="AI11" s="6"/>
      <c r="AJ11" s="6">
        <v>0.3</v>
      </c>
      <c r="AK11" s="6"/>
      <c r="AL11" s="6">
        <v>0.4</v>
      </c>
      <c r="AM11" s="6">
        <v>0.3</v>
      </c>
      <c r="AN11" s="6"/>
      <c r="AO11" s="6">
        <v>0.3</v>
      </c>
      <c r="AP11" s="6">
        <v>0.3</v>
      </c>
      <c r="AQ11" s="6">
        <v>0.2</v>
      </c>
      <c r="AR11" s="6">
        <v>0.4</v>
      </c>
      <c r="AS11" s="6">
        <v>0.2</v>
      </c>
      <c r="AT11" s="6">
        <v>0.2</v>
      </c>
      <c r="AU11" s="6">
        <v>0.3</v>
      </c>
      <c r="AV11" s="6">
        <v>0.1</v>
      </c>
      <c r="AW11" s="6"/>
      <c r="AX11" s="6"/>
    </row>
    <row r="12" spans="2:50" x14ac:dyDescent="0.25">
      <c r="B12" s="8" t="s">
        <v>404</v>
      </c>
      <c r="C12" s="6"/>
      <c r="D12" s="6">
        <v>21</v>
      </c>
      <c r="E12" s="6">
        <v>34</v>
      </c>
      <c r="F12" s="6">
        <v>19</v>
      </c>
      <c r="G12" s="6"/>
      <c r="H12" s="6"/>
      <c r="I12" s="6"/>
      <c r="J12" s="6">
        <v>14</v>
      </c>
      <c r="K12" s="6">
        <v>26</v>
      </c>
      <c r="L12" s="6">
        <v>24</v>
      </c>
      <c r="M12" s="6">
        <v>19</v>
      </c>
      <c r="N12" s="6">
        <v>16</v>
      </c>
      <c r="O12" s="6">
        <v>21</v>
      </c>
      <c r="P12" s="6"/>
      <c r="Q12" s="6"/>
      <c r="R12" s="6"/>
      <c r="S12" s="6"/>
      <c r="T12" s="6">
        <v>17</v>
      </c>
      <c r="U12" s="6">
        <v>27</v>
      </c>
      <c r="V12" s="6">
        <v>15</v>
      </c>
      <c r="W12" s="6"/>
      <c r="X12" s="6"/>
      <c r="Y12" s="6"/>
      <c r="Z12" s="6">
        <v>12</v>
      </c>
      <c r="AA12" s="6">
        <v>17</v>
      </c>
      <c r="AB12" s="6">
        <v>25</v>
      </c>
      <c r="AC12" s="6">
        <v>12</v>
      </c>
      <c r="AD12" s="6">
        <v>17</v>
      </c>
      <c r="AE12" s="6">
        <v>16</v>
      </c>
      <c r="AF12" s="6"/>
      <c r="AG12" s="6"/>
      <c r="AH12" s="6"/>
      <c r="AI12" s="6"/>
      <c r="AJ12" s="6">
        <v>0.4</v>
      </c>
      <c r="AK12" s="6">
        <v>0.4</v>
      </c>
      <c r="AL12" s="6">
        <v>0.6</v>
      </c>
      <c r="AM12" s="6"/>
      <c r="AN12" s="6"/>
      <c r="AO12" s="6"/>
      <c r="AP12" s="6">
        <v>0.2</v>
      </c>
      <c r="AQ12" s="6">
        <v>0.3</v>
      </c>
      <c r="AR12" s="6">
        <v>0.4</v>
      </c>
      <c r="AS12" s="6">
        <v>0.4</v>
      </c>
      <c r="AT12" s="6">
        <v>0.3</v>
      </c>
      <c r="AU12" s="6">
        <v>0.4</v>
      </c>
      <c r="AV12" s="6"/>
      <c r="AW12" s="6"/>
      <c r="AX12" s="6"/>
    </row>
    <row r="13" spans="2:50" x14ac:dyDescent="0.25">
      <c r="B13" s="8" t="s">
        <v>405</v>
      </c>
      <c r="C13" s="6"/>
      <c r="D13" s="6">
        <v>22</v>
      </c>
      <c r="E13" s="6">
        <v>28</v>
      </c>
      <c r="F13" s="6">
        <v>23</v>
      </c>
      <c r="G13" s="6"/>
      <c r="H13" s="6"/>
      <c r="I13" s="6">
        <v>22</v>
      </c>
      <c r="J13" s="6">
        <v>19</v>
      </c>
      <c r="K13" s="6">
        <v>27</v>
      </c>
      <c r="L13" s="6"/>
      <c r="M13" s="6">
        <v>24</v>
      </c>
      <c r="N13" s="6">
        <v>18</v>
      </c>
      <c r="O13" s="6"/>
      <c r="P13" s="6">
        <v>17</v>
      </c>
      <c r="Q13" s="6"/>
      <c r="R13" s="6"/>
      <c r="S13" s="6"/>
      <c r="T13" s="6">
        <v>14</v>
      </c>
      <c r="U13" s="6">
        <v>32</v>
      </c>
      <c r="V13" s="6">
        <v>20</v>
      </c>
      <c r="W13" s="6"/>
      <c r="X13" s="6"/>
      <c r="Y13" s="6">
        <v>17</v>
      </c>
      <c r="Z13" s="6">
        <v>15</v>
      </c>
      <c r="AA13" s="6">
        <v>18</v>
      </c>
      <c r="AB13" s="6"/>
      <c r="AC13" s="6">
        <v>15</v>
      </c>
      <c r="AD13" s="6">
        <v>19</v>
      </c>
      <c r="AE13" s="6"/>
      <c r="AF13" s="6">
        <v>18</v>
      </c>
      <c r="AG13" s="6"/>
      <c r="AH13" s="6"/>
      <c r="AI13" s="6"/>
      <c r="AJ13" s="6"/>
      <c r="AK13" s="6">
        <v>0.2</v>
      </c>
      <c r="AL13" s="6">
        <v>0.5</v>
      </c>
      <c r="AM13" s="6"/>
      <c r="AN13" s="6"/>
      <c r="AO13" s="6">
        <v>0.3</v>
      </c>
      <c r="AP13" s="6">
        <v>0.2</v>
      </c>
      <c r="AQ13" s="6">
        <v>0.2</v>
      </c>
      <c r="AR13" s="6"/>
      <c r="AS13" s="6">
        <v>0.3</v>
      </c>
      <c r="AT13" s="6">
        <v>0.2</v>
      </c>
      <c r="AU13" s="6"/>
      <c r="AV13" s="6">
        <v>0.3</v>
      </c>
      <c r="AW13" s="6"/>
      <c r="AX13" s="6"/>
    </row>
  </sheetData>
  <mergeCells count="5">
    <mergeCell ref="C5:R5"/>
    <mergeCell ref="S5:AH5"/>
    <mergeCell ref="AI5:AX5"/>
    <mergeCell ref="C4:AH4"/>
    <mergeCell ref="AI4:AX4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874B4-9051-4C02-8978-54B2808056B2}">
  <dimension ref="B3:I20"/>
  <sheetViews>
    <sheetView workbookViewId="0">
      <selection activeCell="O34" sqref="O34"/>
    </sheetView>
  </sheetViews>
  <sheetFormatPr defaultRowHeight="15" x14ac:dyDescent="0.25"/>
  <sheetData>
    <row r="3" spans="2:9" x14ac:dyDescent="0.25">
      <c r="B3" s="175" t="s">
        <v>573</v>
      </c>
      <c r="C3" s="176"/>
      <c r="D3" s="176"/>
      <c r="E3" s="176"/>
      <c r="F3" s="176"/>
      <c r="G3" s="176"/>
      <c r="H3" s="176"/>
      <c r="I3" s="177"/>
    </row>
    <row r="4" spans="2:9" x14ac:dyDescent="0.25">
      <c r="B4" s="5" t="s">
        <v>399</v>
      </c>
      <c r="C4" s="5" t="s">
        <v>400</v>
      </c>
      <c r="D4" s="5" t="s">
        <v>401</v>
      </c>
      <c r="E4" s="5" t="s">
        <v>402</v>
      </c>
      <c r="F4" s="5" t="s">
        <v>565</v>
      </c>
      <c r="G4" s="5" t="s">
        <v>403</v>
      </c>
      <c r="H4" s="5" t="s">
        <v>404</v>
      </c>
      <c r="I4" s="5" t="s">
        <v>405</v>
      </c>
    </row>
    <row r="5" spans="2:9" x14ac:dyDescent="0.25">
      <c r="B5" s="6">
        <v>7</v>
      </c>
      <c r="C5" s="6">
        <v>4.2</v>
      </c>
      <c r="D5" s="6"/>
      <c r="E5" s="6"/>
      <c r="F5" s="6"/>
      <c r="G5" s="6"/>
      <c r="H5" s="6"/>
      <c r="I5" s="6"/>
    </row>
    <row r="6" spans="2:9" x14ac:dyDescent="0.25">
      <c r="B6" s="6">
        <v>7.1</v>
      </c>
      <c r="C6" s="6">
        <v>3.6</v>
      </c>
      <c r="D6" s="6">
        <v>4</v>
      </c>
      <c r="E6" s="6">
        <v>3.7</v>
      </c>
      <c r="F6" s="6">
        <v>3.6</v>
      </c>
      <c r="G6" s="6">
        <v>4.0999999999999996</v>
      </c>
      <c r="H6" s="6">
        <v>4.4000000000000004</v>
      </c>
      <c r="I6" s="6">
        <v>3.8</v>
      </c>
    </row>
    <row r="7" spans="2:9" x14ac:dyDescent="0.25">
      <c r="B7" s="6">
        <v>7.5</v>
      </c>
      <c r="C7" s="6">
        <v>5</v>
      </c>
      <c r="D7" s="6"/>
      <c r="E7" s="6">
        <v>5.3</v>
      </c>
      <c r="F7" s="6">
        <v>5.2</v>
      </c>
      <c r="G7" s="6">
        <v>4.2</v>
      </c>
      <c r="H7" s="6">
        <v>4.2</v>
      </c>
      <c r="I7" s="6">
        <v>5</v>
      </c>
    </row>
    <row r="8" spans="2:9" x14ac:dyDescent="0.25">
      <c r="B8" s="6">
        <v>3.7</v>
      </c>
      <c r="C8" s="6">
        <v>2.2000000000000002</v>
      </c>
      <c r="D8" s="6">
        <v>2.5</v>
      </c>
      <c r="E8" s="6"/>
      <c r="F8" s="6">
        <v>2.6</v>
      </c>
      <c r="G8" s="6">
        <v>2.5</v>
      </c>
      <c r="H8" s="6">
        <v>3.3</v>
      </c>
      <c r="I8" s="6">
        <v>3.2</v>
      </c>
    </row>
    <row r="9" spans="2:9" x14ac:dyDescent="0.25">
      <c r="B9" s="6">
        <v>6.4</v>
      </c>
      <c r="C9" s="6">
        <v>2.5</v>
      </c>
      <c r="D9" s="6">
        <v>2.8</v>
      </c>
      <c r="E9" s="6">
        <v>2.4</v>
      </c>
      <c r="F9" s="6">
        <v>2.4</v>
      </c>
      <c r="G9" s="6">
        <v>2.5</v>
      </c>
      <c r="H9" s="6"/>
      <c r="I9" s="6"/>
    </row>
    <row r="10" spans="2:9" x14ac:dyDescent="0.25">
      <c r="B10" s="6">
        <v>5.2</v>
      </c>
      <c r="C10" s="6"/>
      <c r="D10" s="6">
        <v>3.9</v>
      </c>
      <c r="E10" s="6">
        <v>4.2</v>
      </c>
      <c r="F10" s="6">
        <v>4.4000000000000004</v>
      </c>
      <c r="G10" s="6"/>
      <c r="H10" s="6"/>
      <c r="I10" s="6"/>
    </row>
    <row r="11" spans="2:9" x14ac:dyDescent="0.25">
      <c r="B11" s="6">
        <v>6.64</v>
      </c>
      <c r="C11" s="6">
        <v>3.37</v>
      </c>
      <c r="D11" s="6">
        <v>3.49</v>
      </c>
      <c r="E11" s="6"/>
      <c r="F11" s="6"/>
      <c r="G11" s="6"/>
      <c r="H11" s="6"/>
      <c r="I11" s="6"/>
    </row>
    <row r="12" spans="2:9" x14ac:dyDescent="0.25">
      <c r="B12" s="6">
        <v>5.65</v>
      </c>
      <c r="C12" s="6">
        <v>3.7</v>
      </c>
      <c r="D12" s="6">
        <v>4.4400000000000004</v>
      </c>
      <c r="E12" s="6">
        <v>4.2300000000000004</v>
      </c>
      <c r="F12" s="6"/>
      <c r="G12" s="6"/>
      <c r="H12" s="6"/>
      <c r="I12" s="6"/>
    </row>
    <row r="13" spans="2:9" x14ac:dyDescent="0.25">
      <c r="B13" s="6">
        <v>3.8</v>
      </c>
      <c r="C13" s="6">
        <v>1.4</v>
      </c>
      <c r="D13" s="6">
        <v>1.3</v>
      </c>
      <c r="E13" s="6"/>
      <c r="F13" s="6"/>
      <c r="G13" s="6">
        <v>2</v>
      </c>
      <c r="H13" s="6"/>
      <c r="I13" s="6">
        <v>1.7</v>
      </c>
    </row>
    <row r="14" spans="2:9" x14ac:dyDescent="0.25">
      <c r="B14" s="6">
        <v>4.2</v>
      </c>
      <c r="C14" s="6">
        <v>4.2</v>
      </c>
      <c r="D14" s="6">
        <v>1.8</v>
      </c>
      <c r="E14" s="6">
        <v>2.5</v>
      </c>
      <c r="F14" s="6">
        <v>2</v>
      </c>
      <c r="G14" s="6">
        <v>2.4</v>
      </c>
      <c r="H14" s="6">
        <v>2.2000000000000002</v>
      </c>
      <c r="I14" s="6">
        <v>2.4</v>
      </c>
    </row>
    <row r="15" spans="2:9" x14ac:dyDescent="0.25">
      <c r="B15" s="6">
        <v>4</v>
      </c>
      <c r="C15" s="6">
        <v>2.5</v>
      </c>
      <c r="D15" s="6"/>
      <c r="E15" s="6">
        <v>2.2999999999999998</v>
      </c>
      <c r="F15" s="6">
        <v>2.5</v>
      </c>
      <c r="G15" s="6">
        <v>2.2000000000000002</v>
      </c>
      <c r="H15" s="6">
        <v>2.2999999999999998</v>
      </c>
      <c r="I15" s="6">
        <v>2.5</v>
      </c>
    </row>
    <row r="16" spans="2:9" x14ac:dyDescent="0.25">
      <c r="B16" s="6">
        <v>4.9000000000000004</v>
      </c>
      <c r="C16" s="6">
        <v>2.7</v>
      </c>
      <c r="D16" s="6">
        <v>2.6</v>
      </c>
      <c r="E16" s="6">
        <v>2.7</v>
      </c>
      <c r="F16" s="6">
        <v>2.6</v>
      </c>
      <c r="G16" s="6">
        <v>3.1</v>
      </c>
      <c r="H16" s="6">
        <v>3</v>
      </c>
      <c r="I16" s="6"/>
    </row>
    <row r="17" spans="2:9" x14ac:dyDescent="0.25">
      <c r="B17" s="6">
        <v>4.3</v>
      </c>
      <c r="C17" s="6">
        <v>1.5</v>
      </c>
      <c r="D17" s="6">
        <v>1.6</v>
      </c>
      <c r="E17" s="6">
        <v>1.6</v>
      </c>
      <c r="F17" s="6">
        <v>1.7</v>
      </c>
      <c r="G17" s="6">
        <v>1.8</v>
      </c>
      <c r="H17" s="6">
        <v>1.8</v>
      </c>
      <c r="I17" s="6">
        <v>1.8</v>
      </c>
    </row>
    <row r="18" spans="2:9" x14ac:dyDescent="0.25">
      <c r="B18" s="6">
        <v>6.8</v>
      </c>
      <c r="C18" s="6"/>
      <c r="D18" s="6">
        <v>6.9</v>
      </c>
      <c r="E18" s="6">
        <v>7.2</v>
      </c>
      <c r="F18" s="6">
        <v>6.3</v>
      </c>
      <c r="G18" s="6">
        <v>5.4</v>
      </c>
      <c r="H18" s="6">
        <v>5.9</v>
      </c>
      <c r="I18" s="6">
        <v>5.0999999999999996</v>
      </c>
    </row>
    <row r="19" spans="2:9" x14ac:dyDescent="0.25">
      <c r="B19" s="6">
        <v>5.2</v>
      </c>
      <c r="C19" s="6">
        <v>2.5</v>
      </c>
      <c r="D19" s="6">
        <v>2.9</v>
      </c>
      <c r="E19" s="6">
        <v>3.1</v>
      </c>
      <c r="F19" s="6">
        <v>2.8</v>
      </c>
      <c r="G19" s="6">
        <v>3.2</v>
      </c>
      <c r="H19" s="6">
        <v>2.7</v>
      </c>
      <c r="I19" s="6"/>
    </row>
    <row r="20" spans="2:9" x14ac:dyDescent="0.25">
      <c r="B20" s="6">
        <v>6.6</v>
      </c>
      <c r="C20" s="6">
        <v>5.0999999999999996</v>
      </c>
      <c r="D20" s="6">
        <v>6.1</v>
      </c>
      <c r="E20" s="6">
        <v>5.0999999999999996</v>
      </c>
      <c r="F20" s="6">
        <v>4.5</v>
      </c>
      <c r="G20" s="6">
        <v>5.4</v>
      </c>
      <c r="H20" s="6"/>
      <c r="I20" s="6">
        <v>5.4</v>
      </c>
    </row>
  </sheetData>
  <mergeCells count="1">
    <mergeCell ref="B3:I3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D9DB-4A8E-4105-84E9-620F8EE3E803}">
  <dimension ref="B5:C23"/>
  <sheetViews>
    <sheetView workbookViewId="0">
      <selection activeCell="N36" sqref="N36"/>
    </sheetView>
  </sheetViews>
  <sheetFormatPr defaultRowHeight="15" x14ac:dyDescent="0.25"/>
  <cols>
    <col min="2" max="2" width="14.140625" customWidth="1"/>
    <col min="3" max="3" width="23.5703125" customWidth="1"/>
  </cols>
  <sheetData>
    <row r="5" spans="2:3" x14ac:dyDescent="0.25">
      <c r="B5" s="157" t="s">
        <v>574</v>
      </c>
      <c r="C5" s="157"/>
    </row>
    <row r="6" spans="2:3" x14ac:dyDescent="0.25">
      <c r="B6" s="135" t="s">
        <v>392</v>
      </c>
      <c r="C6" s="135" t="s">
        <v>393</v>
      </c>
    </row>
    <row r="7" spans="2:3" x14ac:dyDescent="0.25">
      <c r="B7" s="136">
        <v>23.7</v>
      </c>
      <c r="C7" s="136">
        <v>17.2</v>
      </c>
    </row>
    <row r="8" spans="2:3" x14ac:dyDescent="0.25">
      <c r="B8" s="136">
        <v>32.799999999999997</v>
      </c>
      <c r="C8" s="136">
        <v>30.9</v>
      </c>
    </row>
    <row r="9" spans="2:3" x14ac:dyDescent="0.25">
      <c r="B9" s="136">
        <v>21.3</v>
      </c>
      <c r="C9" s="136">
        <v>25.8</v>
      </c>
    </row>
    <row r="10" spans="2:3" x14ac:dyDescent="0.25">
      <c r="B10" s="136">
        <v>6.2</v>
      </c>
      <c r="C10" s="136">
        <v>9.3000000000000007</v>
      </c>
    </row>
    <row r="11" spans="2:3" x14ac:dyDescent="0.25">
      <c r="B11" s="136">
        <v>31.1</v>
      </c>
      <c r="C11" s="136">
        <v>17.2</v>
      </c>
    </row>
    <row r="12" spans="2:3" x14ac:dyDescent="0.25">
      <c r="B12" s="136">
        <v>46.7</v>
      </c>
      <c r="C12" s="136">
        <v>46.6</v>
      </c>
    </row>
    <row r="13" spans="2:3" x14ac:dyDescent="0.25">
      <c r="B13" s="136">
        <v>19.7</v>
      </c>
      <c r="C13" s="136">
        <v>21.6</v>
      </c>
    </row>
    <row r="14" spans="2:3" x14ac:dyDescent="0.25">
      <c r="B14" s="136">
        <v>21.8</v>
      </c>
      <c r="C14" s="136">
        <v>28.5</v>
      </c>
    </row>
    <row r="15" spans="2:3" x14ac:dyDescent="0.25">
      <c r="B15" s="136"/>
      <c r="C15" s="136"/>
    </row>
    <row r="16" spans="2:3" x14ac:dyDescent="0.25">
      <c r="B16" s="136">
        <v>20.5</v>
      </c>
      <c r="C16" s="136">
        <v>14.2</v>
      </c>
    </row>
    <row r="17" spans="2:3" x14ac:dyDescent="0.25">
      <c r="B17" s="136">
        <v>19.7</v>
      </c>
      <c r="C17" s="136">
        <v>17.2</v>
      </c>
    </row>
    <row r="18" spans="2:3" x14ac:dyDescent="0.25">
      <c r="B18" s="136">
        <v>7.1</v>
      </c>
      <c r="C18" s="136">
        <v>15.1</v>
      </c>
    </row>
    <row r="19" spans="2:3" x14ac:dyDescent="0.25">
      <c r="B19" s="136">
        <v>13.1</v>
      </c>
      <c r="C19" s="136">
        <v>15.4</v>
      </c>
    </row>
    <row r="20" spans="2:3" x14ac:dyDescent="0.25">
      <c r="B20" s="136">
        <v>12.4</v>
      </c>
      <c r="C20" s="136">
        <v>11.9</v>
      </c>
    </row>
    <row r="21" spans="2:3" x14ac:dyDescent="0.25">
      <c r="B21" s="136">
        <v>22.5</v>
      </c>
      <c r="C21" s="136">
        <v>34.700000000000003</v>
      </c>
    </row>
    <row r="22" spans="2:3" x14ac:dyDescent="0.25">
      <c r="B22" s="136">
        <v>12.6</v>
      </c>
      <c r="C22" s="136">
        <v>14.1</v>
      </c>
    </row>
    <row r="23" spans="2:3" x14ac:dyDescent="0.25">
      <c r="B23" s="136">
        <v>37.299999999999997</v>
      </c>
      <c r="C23" s="136">
        <v>44.7</v>
      </c>
    </row>
  </sheetData>
  <mergeCells count="1">
    <mergeCell ref="B5:C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83</vt:i4>
      </vt:variant>
      <vt:variant>
        <vt:lpstr>Named Ranges</vt:lpstr>
      </vt:variant>
      <vt:variant>
        <vt:i4>1</vt:i4>
      </vt:variant>
    </vt:vector>
  </HeadingPairs>
  <TitlesOfParts>
    <vt:vector size="84" baseType="lpstr">
      <vt:lpstr>Fig. 1C</vt:lpstr>
      <vt:lpstr>Fig. 1E</vt:lpstr>
      <vt:lpstr>Fig. 1G</vt:lpstr>
      <vt:lpstr>Fig. 2B</vt:lpstr>
      <vt:lpstr>Fig. 2D</vt:lpstr>
      <vt:lpstr>Fig. 2F</vt:lpstr>
      <vt:lpstr>Fig. 2G</vt:lpstr>
      <vt:lpstr>Fig. 2I</vt:lpstr>
      <vt:lpstr>Fig. 3B</vt:lpstr>
      <vt:lpstr>Fig. 3D</vt:lpstr>
      <vt:lpstr>Fig. 4B</vt:lpstr>
      <vt:lpstr>Fig. 4D</vt:lpstr>
      <vt:lpstr>Fig. 4E</vt:lpstr>
      <vt:lpstr>Fig. 4F</vt:lpstr>
      <vt:lpstr>Fig. 4H</vt:lpstr>
      <vt:lpstr>Fig. 5B</vt:lpstr>
      <vt:lpstr>Fig. 5D</vt:lpstr>
      <vt:lpstr>Fig. 6B</vt:lpstr>
      <vt:lpstr>Fig. 6D</vt:lpstr>
      <vt:lpstr>Fig. 7B</vt:lpstr>
      <vt:lpstr>Fig. 7D</vt:lpstr>
      <vt:lpstr>Fig. 8A</vt:lpstr>
      <vt:lpstr>Fig. 8B</vt:lpstr>
      <vt:lpstr>Fig. 8C</vt:lpstr>
      <vt:lpstr>Fig. 8D</vt:lpstr>
      <vt:lpstr>Fig. 8E</vt:lpstr>
      <vt:lpstr>Fig. 8F</vt:lpstr>
      <vt:lpstr>Fig. 9B</vt:lpstr>
      <vt:lpstr>Fig. 9C</vt:lpstr>
      <vt:lpstr>Fig. 9E</vt:lpstr>
      <vt:lpstr>Fig. 10A</vt:lpstr>
      <vt:lpstr>Fig. 10B</vt:lpstr>
      <vt:lpstr>Fig. 10C</vt:lpstr>
      <vt:lpstr>Fig. 10E</vt:lpstr>
      <vt:lpstr>Fig. 10F</vt:lpstr>
      <vt:lpstr>Fig. 11B</vt:lpstr>
      <vt:lpstr>Fig. 11D</vt:lpstr>
      <vt:lpstr>Fig. 12B</vt:lpstr>
      <vt:lpstr>Fig. 13B</vt:lpstr>
      <vt:lpstr>Fig. 15A</vt:lpstr>
      <vt:lpstr>Fig. 15B</vt:lpstr>
      <vt:lpstr>Fig. 15C</vt:lpstr>
      <vt:lpstr>Fig. 15E</vt:lpstr>
      <vt:lpstr>Fig. 15F</vt:lpstr>
      <vt:lpstr>Fig. 15G</vt:lpstr>
      <vt:lpstr>Fig. 15H</vt:lpstr>
      <vt:lpstr>Fig. 15I</vt:lpstr>
      <vt:lpstr>Fig. 16B</vt:lpstr>
      <vt:lpstr>Fig. 16C</vt:lpstr>
      <vt:lpstr>Fig. 16D</vt:lpstr>
      <vt:lpstr>Fig. 16E</vt:lpstr>
      <vt:lpstr>Fig. 16F</vt:lpstr>
      <vt:lpstr>Fig. 16G</vt:lpstr>
      <vt:lpstr>Fig. 16H</vt:lpstr>
      <vt:lpstr>Fig. 16I</vt:lpstr>
      <vt:lpstr>Supp. Fig. 1B</vt:lpstr>
      <vt:lpstr>Supp. Fig. 1F</vt:lpstr>
      <vt:lpstr>Supp. Fig. 1H</vt:lpstr>
      <vt:lpstr>Supp. Fig. 2B</vt:lpstr>
      <vt:lpstr>Supp. Fig. 2D</vt:lpstr>
      <vt:lpstr>Supp. Fig. 3B</vt:lpstr>
      <vt:lpstr>Supp. Fig. 3C</vt:lpstr>
      <vt:lpstr>Supp. Fig. 3D</vt:lpstr>
      <vt:lpstr>Supp. Fig. 4B</vt:lpstr>
      <vt:lpstr>Supp. Fig. 4D</vt:lpstr>
      <vt:lpstr>Supp. Fig. 4E</vt:lpstr>
      <vt:lpstr>Supp. Fig. 4G</vt:lpstr>
      <vt:lpstr>Supp. Fig. 4I</vt:lpstr>
      <vt:lpstr>Supp. Fig. 5B</vt:lpstr>
      <vt:lpstr>Supp. Fig. 5D</vt:lpstr>
      <vt:lpstr>Supp. Fig. 5F</vt:lpstr>
      <vt:lpstr>Supp. Fig. 6B</vt:lpstr>
      <vt:lpstr>Supp. Fig. 6D</vt:lpstr>
      <vt:lpstr>Supp. Fig. 7B</vt:lpstr>
      <vt:lpstr>Supp. Fig. 7D</vt:lpstr>
      <vt:lpstr>Supp. Fig. 7E-N</vt:lpstr>
      <vt:lpstr>Supp. Fig. 8A</vt:lpstr>
      <vt:lpstr>Supp. Fig. 8B</vt:lpstr>
      <vt:lpstr>Supp. Fig. 8C</vt:lpstr>
      <vt:lpstr>Supp. Fig. 9A</vt:lpstr>
      <vt:lpstr>Supp. Fig. 9B</vt:lpstr>
      <vt:lpstr>Supp. Fig. 9C</vt:lpstr>
      <vt:lpstr>Supp. Fig. 9D</vt:lpstr>
      <vt:lpstr>'Fig. 15H'!Print_Area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Hadla, Mohamad, Ph.D.</dc:creator>
  <cp:keywords/>
  <dc:description/>
  <cp:lastModifiedBy>Hadla, Mohamad, Ph.D.</cp:lastModifiedBy>
  <cp:revision/>
  <dcterms:created xsi:type="dcterms:W3CDTF">2015-06-05T18:17:20Z</dcterms:created>
  <dcterms:modified xsi:type="dcterms:W3CDTF">2026-04-24T04:02:02Z</dcterms:modified>
  <cp:category/>
  <cp:contentStatus/>
</cp:coreProperties>
</file>